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Contingency Planning\"/>
    </mc:Choice>
  </mc:AlternateContent>
  <xr:revisionPtr revIDLastSave="0" documentId="13_ncr:1_{EF5C32F2-7CF1-471B-AD5E-51AD567F9757}" xr6:coauthVersionLast="47" xr6:coauthVersionMax="47" xr10:uidLastSave="{00000000-0000-0000-0000-000000000000}"/>
  <bookViews>
    <workbookView xWindow="4470" yWindow="3495" windowWidth="21600" windowHeight="11715" firstSheet="8" activeTab="10" xr2:uid="{00000000-000D-0000-FFFF-FFFF00000000}"/>
  </bookViews>
  <sheets>
    <sheet name="Instructions" sheetId="5" r:id="rId1"/>
    <sheet name="Table Titles" sheetId="9" r:id="rId2"/>
    <sheet name="Inventories and Financing" sheetId="10" r:id="rId3"/>
    <sheet name="Crop Acres" sheetId="4" r:id="rId4"/>
    <sheet name="Crop Income" sheetId="3" r:id="rId5"/>
    <sheet name="Other Income" sheetId="6" r:id="rId6"/>
    <sheet name="Expenses" sheetId="2" r:id="rId7"/>
    <sheet name="Tax Estimate" sheetId="7" r:id="rId8"/>
    <sheet name="NonFarm" sheetId="11" r:id="rId9"/>
    <sheet name="Income Statement" sheetId="1" r:id="rId10"/>
    <sheet name="Sources and Uses" sheetId="8" r:id="rId11"/>
    <sheet name="Repayment Capacity" sheetId="13" r:id="rId12"/>
    <sheet name="Working Capital" sheetId="12" r:id="rId13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4" i="8" l="1"/>
  <c r="G24" i="2" l="1"/>
  <c r="F24" i="2"/>
  <c r="E24" i="2"/>
  <c r="G14" i="3" l="1"/>
  <c r="K25" i="2" l="1"/>
  <c r="I22" i="2"/>
  <c r="L6" i="1"/>
  <c r="K22" i="2" l="1"/>
  <c r="K43" i="3" l="1"/>
  <c r="K22" i="3"/>
  <c r="K18" i="3"/>
  <c r="K20" i="2"/>
  <c r="E6" i="2" l="1"/>
  <c r="I28" i="2"/>
  <c r="I32" i="2" s="1"/>
  <c r="H28" i="2"/>
  <c r="H32" i="2" s="1"/>
  <c r="E7" i="3"/>
  <c r="E6" i="3"/>
  <c r="J22" i="3" l="1"/>
  <c r="J18" i="3"/>
  <c r="I14" i="13" l="1"/>
  <c r="I13" i="13"/>
  <c r="I11" i="13"/>
  <c r="I7" i="13"/>
  <c r="A2" i="13"/>
  <c r="J49" i="1" l="1"/>
  <c r="I28" i="8" l="1"/>
  <c r="G12" i="12" l="1"/>
  <c r="I12" i="12"/>
  <c r="I4" i="12"/>
  <c r="G4" i="12"/>
  <c r="A2" i="12"/>
  <c r="K42" i="8"/>
  <c r="I37" i="8"/>
  <c r="I36" i="8"/>
  <c r="I35" i="8"/>
  <c r="I34" i="8"/>
  <c r="I31" i="8"/>
  <c r="I30" i="8"/>
  <c r="I29" i="8"/>
  <c r="I9" i="8"/>
  <c r="K4" i="8" l="1"/>
  <c r="H24" i="10"/>
  <c r="I9" i="12" s="1"/>
  <c r="F24" i="10"/>
  <c r="G9" i="12" s="1"/>
  <c r="I38" i="8" l="1"/>
  <c r="I32" i="8"/>
  <c r="K24" i="8"/>
  <c r="A2" i="8"/>
  <c r="A2" i="1"/>
  <c r="K40" i="8" l="1"/>
  <c r="G15" i="6" l="1"/>
  <c r="G17" i="6"/>
  <c r="K28" i="2"/>
  <c r="K32" i="2" s="1"/>
  <c r="E5" i="2"/>
  <c r="E5" i="3"/>
  <c r="J27" i="1"/>
  <c r="J26" i="1"/>
  <c r="J21" i="1"/>
  <c r="J20" i="1"/>
  <c r="J19" i="1"/>
  <c r="J18" i="1"/>
  <c r="I14" i="1"/>
  <c r="I13" i="1"/>
  <c r="I12" i="1"/>
  <c r="J15" i="1" s="1"/>
  <c r="I22" i="3"/>
  <c r="H22" i="3"/>
  <c r="G22" i="3"/>
  <c r="I18" i="3"/>
  <c r="H18" i="3"/>
  <c r="G18" i="3"/>
  <c r="E4" i="3"/>
  <c r="H39" i="3" s="1"/>
  <c r="H43" i="3" s="1"/>
  <c r="E3" i="3"/>
  <c r="K32" i="3" s="1"/>
  <c r="G28" i="2"/>
  <c r="G32" i="2" s="1"/>
  <c r="E4" i="2"/>
  <c r="E3" i="2"/>
  <c r="E28" i="2"/>
  <c r="E32" i="2" s="1"/>
  <c r="F28" i="2"/>
  <c r="F32" i="2" s="1"/>
  <c r="L18" i="3" l="1"/>
  <c r="I8" i="1" s="1"/>
  <c r="J13" i="2"/>
  <c r="L13" i="2" s="1"/>
  <c r="J34" i="2"/>
  <c r="J30" i="2"/>
  <c r="L30" i="2" s="1"/>
  <c r="B7" i="7" s="1"/>
  <c r="J19" i="2"/>
  <c r="L19" i="2" s="1"/>
  <c r="J39" i="1" s="1"/>
  <c r="J26" i="2"/>
  <c r="L26" i="2" s="1"/>
  <c r="I9" i="13" s="1"/>
  <c r="J18" i="2"/>
  <c r="L18" i="2" s="1"/>
  <c r="J38" i="1" s="1"/>
  <c r="J16" i="2"/>
  <c r="L16" i="2" s="1"/>
  <c r="J36" i="1" s="1"/>
  <c r="J15" i="2"/>
  <c r="L15" i="2" s="1"/>
  <c r="J35" i="1" s="1"/>
  <c r="J21" i="2"/>
  <c r="L21" i="2" s="1"/>
  <c r="J41" i="1" s="1"/>
  <c r="J20" i="2"/>
  <c r="L20" i="2" s="1"/>
  <c r="J40" i="1" s="1"/>
  <c r="J25" i="2"/>
  <c r="L25" i="2" s="1"/>
  <c r="J52" i="1" s="1"/>
  <c r="J17" i="2"/>
  <c r="L17" i="2" s="1"/>
  <c r="J37" i="1" s="1"/>
  <c r="J24" i="2"/>
  <c r="L24" i="2" s="1"/>
  <c r="J44" i="1" s="1"/>
  <c r="J23" i="2"/>
  <c r="L23" i="2" s="1"/>
  <c r="J43" i="1" s="1"/>
  <c r="J22" i="2"/>
  <c r="L22" i="2" s="1"/>
  <c r="J42" i="1" s="1"/>
  <c r="J14" i="2"/>
  <c r="L14" i="2" s="1"/>
  <c r="J32" i="2"/>
  <c r="L32" i="2" s="1"/>
  <c r="I32" i="3"/>
  <c r="J32" i="3"/>
  <c r="I39" i="3"/>
  <c r="I43" i="3" s="1"/>
  <c r="J39" i="3"/>
  <c r="J43" i="3" s="1"/>
  <c r="G32" i="3"/>
  <c r="G39" i="3"/>
  <c r="G43" i="3" s="1"/>
  <c r="H32" i="3"/>
  <c r="L34" i="2"/>
  <c r="L43" i="3" l="1"/>
  <c r="H10" i="10" s="1"/>
  <c r="H12" i="10" s="1"/>
  <c r="I8" i="12" s="1"/>
  <c r="J50" i="1"/>
  <c r="I10" i="13" s="1"/>
  <c r="I16" i="13" s="1"/>
  <c r="L32" i="3"/>
  <c r="J53" i="1"/>
  <c r="F10" i="10"/>
  <c r="F12" i="10" s="1"/>
  <c r="G8" i="12" s="1"/>
  <c r="G16" i="12" s="1"/>
  <c r="G24" i="12" s="1"/>
  <c r="J28" i="2"/>
  <c r="J34" i="1"/>
  <c r="J46" i="1" s="1"/>
  <c r="L28" i="2"/>
  <c r="B5" i="7" s="1"/>
  <c r="I12" i="8" s="1"/>
  <c r="B3" i="7" l="1"/>
  <c r="B13" i="7" s="1"/>
  <c r="B17" i="7" s="1"/>
  <c r="I8" i="13" s="1"/>
  <c r="I6" i="1"/>
  <c r="I7" i="1"/>
  <c r="J55" i="1"/>
  <c r="I11" i="12" s="1"/>
  <c r="G18" i="12"/>
  <c r="I16" i="12"/>
  <c r="I18" i="12"/>
  <c r="J9" i="1" l="1"/>
  <c r="J23" i="1" s="1"/>
  <c r="J29" i="1" s="1"/>
  <c r="I10" i="12" s="1"/>
  <c r="I20" i="12" s="1"/>
  <c r="I8" i="8"/>
  <c r="I10" i="8" s="1"/>
  <c r="I24" i="12"/>
  <c r="I22" i="12"/>
  <c r="I14" i="8"/>
  <c r="I15" i="8" s="1"/>
  <c r="G8" i="11"/>
  <c r="J58" i="1" l="1"/>
  <c r="J63" i="1" s="1"/>
  <c r="C69" i="1" s="1"/>
  <c r="K17" i="8"/>
  <c r="K44" i="8" s="1"/>
  <c r="I6" i="13" l="1"/>
  <c r="I12" i="13" s="1"/>
  <c r="I21" i="13" s="1"/>
  <c r="I15" i="13" l="1"/>
  <c r="I17" i="13" s="1"/>
  <c r="I19" i="13"/>
</calcChain>
</file>

<file path=xl/sharedStrings.xml><?xml version="1.0" encoding="utf-8"?>
<sst xmlns="http://schemas.openxmlformats.org/spreadsheetml/2006/main" count="293" uniqueCount="225">
  <si>
    <t>Farm Business Receipts:</t>
  </si>
  <si>
    <t>Crop Cash Sales</t>
  </si>
  <si>
    <t>(1A)</t>
  </si>
  <si>
    <t>Ending Crop and Feed Inventory</t>
  </si>
  <si>
    <t>(1B)</t>
  </si>
  <si>
    <t>Beginning Crop and Feed Inventory</t>
  </si>
  <si>
    <t>(1C)</t>
  </si>
  <si>
    <t>Accrual Gross Revenue from Crops</t>
  </si>
  <si>
    <t>(1)</t>
  </si>
  <si>
    <t>(Line 1A + Line 1B - Line 1C)</t>
  </si>
  <si>
    <t>Livestock and Milk Cash Sales</t>
  </si>
  <si>
    <t>(2A)</t>
  </si>
  <si>
    <t>Ending Livestock Inventory</t>
  </si>
  <si>
    <t>(2B)</t>
  </si>
  <si>
    <t>Beginning Livestock Inventory</t>
  </si>
  <si>
    <t>(2C)</t>
  </si>
  <si>
    <t>Accrual Gross Revenue from Livestock and Milk</t>
  </si>
  <si>
    <t>(2)</t>
  </si>
  <si>
    <t>(Line 2A + Line 2B - Line 2C)</t>
  </si>
  <si>
    <t>Gain/Loss on Sale of Breeding Livestock</t>
  </si>
  <si>
    <t>(3)</t>
  </si>
  <si>
    <t>Agricultural Program Payments</t>
  </si>
  <si>
    <t>(4)</t>
  </si>
  <si>
    <t>Crop Insurance Proceeds</t>
  </si>
  <si>
    <t>(5)</t>
  </si>
  <si>
    <t>Other Farm Income</t>
  </si>
  <si>
    <t>(6)</t>
  </si>
  <si>
    <t>GROSS REVENUE</t>
  </si>
  <si>
    <t>(7)</t>
  </si>
  <si>
    <t>(Add Lines 1 through 6)</t>
  </si>
  <si>
    <t>Livestock Purchases</t>
  </si>
  <si>
    <t>(8)</t>
  </si>
  <si>
    <t>Cost of Purchased Feed/Grain</t>
  </si>
  <si>
    <t>(9)</t>
  </si>
  <si>
    <t>VALUE OF FARM PRODUCTION</t>
  </si>
  <si>
    <t>(10)</t>
  </si>
  <si>
    <t>(Line 7 - Line 8 - Line 9)</t>
  </si>
  <si>
    <t>Farm Business Expenses:</t>
  </si>
  <si>
    <t>Fertilizer</t>
  </si>
  <si>
    <t>(11)</t>
  </si>
  <si>
    <t>Seed</t>
  </si>
  <si>
    <t>(12)</t>
  </si>
  <si>
    <t>Chemicals</t>
  </si>
  <si>
    <t>(13)</t>
  </si>
  <si>
    <t>Dryer Fuel</t>
  </si>
  <si>
    <t>(14)</t>
  </si>
  <si>
    <t>Machinery Fuel</t>
  </si>
  <si>
    <t>(15)</t>
  </si>
  <si>
    <t>Machinery Repairs</t>
  </si>
  <si>
    <t>(16)</t>
  </si>
  <si>
    <t>Hauling</t>
  </si>
  <si>
    <t>(17)</t>
  </si>
  <si>
    <t>Insurance</t>
  </si>
  <si>
    <t>(18)</t>
  </si>
  <si>
    <t>Miscellaneous</t>
  </si>
  <si>
    <t>(19)</t>
  </si>
  <si>
    <t>Hired Labor</t>
  </si>
  <si>
    <t>(20)</t>
  </si>
  <si>
    <t>Cash Rent</t>
  </si>
  <si>
    <t>(21)</t>
  </si>
  <si>
    <t>Operating Interest</t>
  </si>
  <si>
    <t>(22)</t>
  </si>
  <si>
    <t>Term Interest</t>
  </si>
  <si>
    <t>(23)</t>
  </si>
  <si>
    <t>TOTAL CASH EXPENSES</t>
  </si>
  <si>
    <t>(24)</t>
  </si>
  <si>
    <t>(Add Lines 11 through 23)</t>
  </si>
  <si>
    <t>Expense Inventory Adjustment</t>
  </si>
  <si>
    <t>(25)</t>
  </si>
  <si>
    <t>Depreciation</t>
  </si>
  <si>
    <t>(26)</t>
  </si>
  <si>
    <t>TOTAL FARM EXPENSES</t>
  </si>
  <si>
    <t>(27)</t>
  </si>
  <si>
    <t>(Line 24 + Line 25 + Line 26)</t>
  </si>
  <si>
    <t>NET FARM INCOME FROM OPERATIONS</t>
  </si>
  <si>
    <t>(28)</t>
  </si>
  <si>
    <t>(Line 10 - Line 27)</t>
  </si>
  <si>
    <t>Gain/Loss on Sale of Capital Assets</t>
  </si>
  <si>
    <t>(29)</t>
  </si>
  <si>
    <t>NET FARM INCOME</t>
  </si>
  <si>
    <t>(30)</t>
  </si>
  <si>
    <t>(Line 28 + Line 29)</t>
  </si>
  <si>
    <t>Acres:</t>
  </si>
  <si>
    <t>Corn</t>
  </si>
  <si>
    <t>Soybeans</t>
  </si>
  <si>
    <t>Crop Acres</t>
  </si>
  <si>
    <t>Brief Instructions</t>
  </si>
  <si>
    <t>Crops</t>
  </si>
  <si>
    <t>Total</t>
  </si>
  <si>
    <t>Per Acre Basis</t>
  </si>
  <si>
    <t>Grand</t>
  </si>
  <si>
    <t>Fuel and Utilities</t>
  </si>
  <si>
    <t>Repairs</t>
  </si>
  <si>
    <t>FAMILY LABOR</t>
  </si>
  <si>
    <t>Total Cash Crop Sales</t>
  </si>
  <si>
    <t>Beginning Inventory Bushels</t>
  </si>
  <si>
    <t>Other Income</t>
  </si>
  <si>
    <t>Expected Crop Yield</t>
  </si>
  <si>
    <t>Crop Price for Fall Crop Sales</t>
  </si>
  <si>
    <t>Interest on Operating Debt</t>
  </si>
  <si>
    <t>Interest on Term Debt</t>
  </si>
  <si>
    <t>Title for Income Statement</t>
  </si>
  <si>
    <t>Percent of Fall Crop Sold</t>
  </si>
  <si>
    <t xml:space="preserve">Cash Price Received for Crops in Beginning Inventory </t>
  </si>
  <si>
    <t xml:space="preserve">Hauling </t>
  </si>
  <si>
    <t>Tax Estimate</t>
  </si>
  <si>
    <t>Sub-Total: Cash</t>
  </si>
  <si>
    <t>Sub-Total:  Accrual</t>
  </si>
  <si>
    <t>Asset Sales</t>
  </si>
  <si>
    <t>Asset Purchases</t>
  </si>
  <si>
    <t>Cash Farm Expenses</t>
  </si>
  <si>
    <t>Cash Farm Receipts</t>
  </si>
  <si>
    <t>Taxable Income</t>
  </si>
  <si>
    <t>Tax Rate</t>
  </si>
  <si>
    <t>Taxes</t>
  </si>
  <si>
    <t>Title for Sources and Uses of Funds Statement</t>
  </si>
  <si>
    <t>Title for Working Capital Statement</t>
  </si>
  <si>
    <t xml:space="preserve">  Beginning Cash Balances</t>
  </si>
  <si>
    <t xml:space="preserve">  Cash Flows from Operating Activities:</t>
  </si>
  <si>
    <t>Net Non-Farm Cash Income</t>
  </si>
  <si>
    <t>Sub-Total (1)</t>
  </si>
  <si>
    <t>Family Living Withdrawals</t>
  </si>
  <si>
    <t>Income and Self-Employment Taxes</t>
  </si>
  <si>
    <t>Sub-Total (2)</t>
  </si>
  <si>
    <t>Net Cash Provided by Operating Activities (1 - 2)</t>
  </si>
  <si>
    <t xml:space="preserve">   Cash Flows from Investing Activities</t>
  </si>
  <si>
    <t>Capital Asset Sales</t>
  </si>
  <si>
    <t>Capital Asset Purchases</t>
  </si>
  <si>
    <t>Net Cash Provided by Investing Activities</t>
  </si>
  <si>
    <t xml:space="preserve">   Cash Flows from Financing Activities</t>
  </si>
  <si>
    <t>Current Debt Financing - Loans Received</t>
  </si>
  <si>
    <t>Term Debt Financing - Loans Received</t>
  </si>
  <si>
    <t>Cash Received from Gifts, Inheritances, and Paid-In Capital</t>
  </si>
  <si>
    <t>Personal Investment of Cash Added into Business Assets</t>
  </si>
  <si>
    <t>Sub-Total (3)</t>
  </si>
  <si>
    <t>Operating Debt Principal Payments</t>
  </si>
  <si>
    <t>Term Debt Principal Payments</t>
  </si>
  <si>
    <t>Principal Portion of Payments on Capital Leases</t>
  </si>
  <si>
    <t>Cash Distributions of Dividends, Capital, or Gifts</t>
  </si>
  <si>
    <t>Sub-Total (4)</t>
  </si>
  <si>
    <t>Net Cash Provided by Financing Activities (3 - 4)</t>
  </si>
  <si>
    <t xml:space="preserve">   Ending Cash Balances</t>
  </si>
  <si>
    <t xml:space="preserve">   Unlocated Funds</t>
  </si>
  <si>
    <t xml:space="preserve">  Note:  If all cash flows (farm and non-farm) are accounted for, unlocated funds will be zero.</t>
  </si>
  <si>
    <t>Current Assets</t>
  </si>
  <si>
    <t>Cash</t>
  </si>
  <si>
    <t>Marketable Securities</t>
  </si>
  <si>
    <t>Accounts Receivable</t>
  </si>
  <si>
    <t>Fertilizer and Supplies</t>
  </si>
  <si>
    <t>Investment in Growing Crops</t>
  </si>
  <si>
    <t>Crops Held for Sale and Feed</t>
  </si>
  <si>
    <t>Total Current Assets</t>
  </si>
  <si>
    <t>Current Liabilities</t>
  </si>
  <si>
    <t>Accounts Payable</t>
  </si>
  <si>
    <t>Taxes Payable</t>
  </si>
  <si>
    <t>Accrued Expenses</t>
  </si>
  <si>
    <t>Current Portion: Deferred Taxes</t>
  </si>
  <si>
    <t>Notes Due within One Year</t>
  </si>
  <si>
    <t>Current Portion of Term Debt</t>
  </si>
  <si>
    <t>Total Current Liabilities</t>
  </si>
  <si>
    <t>Principal on Term Debt</t>
  </si>
  <si>
    <t>Inflows</t>
  </si>
  <si>
    <t>Outflows</t>
  </si>
  <si>
    <t>Family Living Expenses</t>
  </si>
  <si>
    <t>Non-Farm Transactions</t>
  </si>
  <si>
    <t>Additional Term Debt Received</t>
  </si>
  <si>
    <t>Financing Activities</t>
  </si>
  <si>
    <t>Cash Received from Gifts and Inhertiances</t>
  </si>
  <si>
    <t>Personal Investment of Cash</t>
  </si>
  <si>
    <t>Principal on Capital Leases</t>
  </si>
  <si>
    <t>Inputs</t>
  </si>
  <si>
    <t xml:space="preserve">     Current Assets</t>
  </si>
  <si>
    <t xml:space="preserve">     Current Liabilities</t>
  </si>
  <si>
    <t xml:space="preserve">     Gross Revenue</t>
  </si>
  <si>
    <t xml:space="preserve">     Total Expense</t>
  </si>
  <si>
    <t xml:space="preserve">     Crop Acres</t>
  </si>
  <si>
    <t>Ratios</t>
  </si>
  <si>
    <t xml:space="preserve">     Current Ratio</t>
  </si>
  <si>
    <t>TOTAL EXPENSE</t>
  </si>
  <si>
    <t>TOTAL CASH EXPENSE</t>
  </si>
  <si>
    <t>(Line 1 - Line 2)</t>
  </si>
  <si>
    <t>(Line 1 / Line 2)</t>
  </si>
  <si>
    <t xml:space="preserve">     Working Capital to Gross Revenue</t>
  </si>
  <si>
    <t>(WC/Line 3)</t>
  </si>
  <si>
    <t xml:space="preserve">     Working Capital (WC)</t>
  </si>
  <si>
    <t xml:space="preserve">     Working Capital to Total Expense</t>
  </si>
  <si>
    <t>(WC/Line 4)</t>
  </si>
  <si>
    <t xml:space="preserve">     Working Capital per Acre</t>
  </si>
  <si>
    <t>(WC/Line 5)</t>
  </si>
  <si>
    <t xml:space="preserve">Fill in the yellow cells in the "Table Titles", "Inventories and Financing", "Crop Acres", "Crop Income", </t>
  </si>
  <si>
    <t>to the pro forma Income Statement, Sources and Uses, and Working Capital tabs.</t>
  </si>
  <si>
    <t xml:space="preserve">"Other Income", "Expenses", "Tax Estimate", and "NonFarm" tabs.  This information is transferred </t>
  </si>
  <si>
    <t>Dollars of Inventory</t>
  </si>
  <si>
    <t>Crop Insurance</t>
  </si>
  <si>
    <t>Accrued Interest</t>
  </si>
  <si>
    <t>Title for Repayment Capacity Measures</t>
  </si>
  <si>
    <t>Capital Debt Repayment Capacity and Margin, and Replacement Margin</t>
  </si>
  <si>
    <t>Accrual Net Farm Income</t>
  </si>
  <si>
    <t>Off-Farm Income</t>
  </si>
  <si>
    <t>Interest Expense on Term Debt</t>
  </si>
  <si>
    <t>Capital Debt Repayment Capacity {(1+2-3+4+5)-6}</t>
  </si>
  <si>
    <t>Principal on Term Debts and Capital Leases</t>
  </si>
  <si>
    <t>Unpaid Operating Debt from Prior Period</t>
  </si>
  <si>
    <t>Capital Debt Repayment Margin {7 - (4+8+9)}</t>
  </si>
  <si>
    <t>Cash Used for Capital Replacement</t>
  </si>
  <si>
    <t>Replacement Margin {10-11}</t>
  </si>
  <si>
    <t>Term Debt and Capital Lease Coverage Ratio {7 / (4+8+9)}</t>
  </si>
  <si>
    <t>Replacement Margin Coverage Ratio {7 / (4+8+9+11)}</t>
  </si>
  <si>
    <t>Unpaid Operating Debt from Prior Periods</t>
  </si>
  <si>
    <t>Profit Margin</t>
  </si>
  <si>
    <t>Wheat</t>
  </si>
  <si>
    <t>DC Soybeans</t>
  </si>
  <si>
    <t>DC Soy</t>
  </si>
  <si>
    <t>Beef</t>
  </si>
  <si>
    <t>Hay</t>
  </si>
  <si>
    <t>Units in Storage</t>
  </si>
  <si>
    <t>Price per Unit</t>
  </si>
  <si>
    <t>Feed</t>
  </si>
  <si>
    <t>Table 1.  Pro Forma Income Statement for Big Creek Farms, 2025</t>
  </si>
  <si>
    <t>Table 2.  Sources and Uses of Funds Statement for Big Creek Farms, 2025</t>
  </si>
  <si>
    <t>Table 3.  Repayment Capacity Measures for Big Creek Farms, 2025</t>
  </si>
  <si>
    <t>Table 4.  Working Capital Ratios for Big Creek Farms, 2025</t>
  </si>
  <si>
    <t>Beginning Inventory (1/1/25)</t>
  </si>
  <si>
    <t>Cash Crop Sales During 2025</t>
  </si>
  <si>
    <t>Ending Inventory (12/31/25)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</si>
</sst>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%"/>
    <numFmt numFmtId="166" formatCode="0.000"/>
    <numFmt numFmtId="167" formatCode="#,##0.000"/>
    <numFmt numFmtId="168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4" fillId="3" borderId="2" applyNumberFormat="0" applyFont="0" applyAlignment="0" applyProtection="0"/>
    <xf numFmtId="9" fontId="4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0" fillId="0" borderId="1" xfId="0" applyBorder="1"/>
    <xf numFmtId="49" fontId="0" fillId="0" borderId="0" xfId="0" applyNumberFormat="1" applyAlignment="1">
      <alignment horizontal="right"/>
    </xf>
    <xf numFmtId="3" fontId="0" fillId="0" borderId="0" xfId="0" applyNumberFormat="1"/>
    <xf numFmtId="49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/>
    <xf numFmtId="3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0" xfId="0" applyNumberFormat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3" fillId="0" borderId="0" xfId="0" applyFont="1" applyFill="1" applyBorder="1"/>
    <xf numFmtId="49" fontId="0" fillId="0" borderId="0" xfId="0" applyNumberFormat="1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49" fontId="0" fillId="0" borderId="0" xfId="0" applyNumberFormat="1" applyFill="1" applyBorder="1"/>
    <xf numFmtId="3" fontId="0" fillId="0" borderId="0" xfId="0" applyNumberFormat="1" applyFill="1" applyBorder="1"/>
    <xf numFmtId="4" fontId="0" fillId="0" borderId="0" xfId="0" applyNumberFormat="1" applyFill="1" applyBorder="1" applyAlignment="1">
      <alignment horizontal="right"/>
    </xf>
    <xf numFmtId="4" fontId="0" fillId="0" borderId="0" xfId="0" applyNumberFormat="1" applyFill="1" applyBorder="1"/>
    <xf numFmtId="2" fontId="0" fillId="0" borderId="0" xfId="0" applyNumberFormat="1" applyFill="1" applyBorder="1" applyAlignment="1">
      <alignment horizontal="right"/>
    </xf>
    <xf numFmtId="3" fontId="0" fillId="0" borderId="0" xfId="0" applyNumberFormat="1" applyFill="1" applyBorder="1" applyProtection="1"/>
    <xf numFmtId="3" fontId="0" fillId="3" borderId="2" xfId="1" applyNumberFormat="1" applyFont="1" applyProtection="1">
      <protection locked="0"/>
    </xf>
    <xf numFmtId="0" fontId="0" fillId="3" borderId="2" xfId="1" applyFont="1" applyProtection="1">
      <protection locked="0"/>
    </xf>
    <xf numFmtId="2" fontId="0" fillId="3" borderId="2" xfId="1" applyNumberFormat="1" applyFont="1" applyProtection="1">
      <protection locked="0"/>
    </xf>
    <xf numFmtId="165" fontId="0" fillId="3" borderId="2" xfId="1" applyNumberFormat="1" applyFont="1" applyProtection="1">
      <protection locked="0"/>
    </xf>
    <xf numFmtId="164" fontId="0" fillId="3" borderId="2" xfId="1" applyNumberFormat="1" applyFont="1" applyProtection="1">
      <protection locked="0"/>
    </xf>
    <xf numFmtId="4" fontId="0" fillId="3" borderId="2" xfId="1" applyNumberFormat="1" applyFont="1" applyAlignment="1" applyProtection="1">
      <alignment horizontal="right"/>
      <protection locked="0"/>
    </xf>
    <xf numFmtId="4" fontId="0" fillId="3" borderId="2" xfId="1" applyNumberFormat="1" applyFont="1" applyProtection="1">
      <protection locked="0"/>
    </xf>
    <xf numFmtId="0" fontId="1" fillId="0" borderId="1" xfId="0" applyFont="1" applyBorder="1"/>
    <xf numFmtId="49" fontId="0" fillId="0" borderId="1" xfId="0" applyNumberFormat="1" applyBorder="1"/>
    <xf numFmtId="49" fontId="0" fillId="0" borderId="1" xfId="0" applyNumberFormat="1" applyBorder="1" applyAlignment="1">
      <alignment horizontal="right"/>
    </xf>
    <xf numFmtId="3" fontId="0" fillId="0" borderId="1" xfId="0" applyNumberFormat="1" applyBorder="1"/>
    <xf numFmtId="0" fontId="5" fillId="0" borderId="0" xfId="0" applyFont="1"/>
    <xf numFmtId="0" fontId="6" fillId="0" borderId="0" xfId="0" applyFont="1"/>
    <xf numFmtId="166" fontId="0" fillId="0" borderId="0" xfId="0" applyNumberFormat="1"/>
    <xf numFmtId="14" fontId="1" fillId="0" borderId="0" xfId="0" applyNumberFormat="1" applyFont="1" applyAlignment="1">
      <alignment horizontal="right"/>
    </xf>
    <xf numFmtId="49" fontId="0" fillId="0" borderId="0" xfId="0" applyNumberFormat="1" applyAlignment="1">
      <alignment horizontal="left"/>
    </xf>
    <xf numFmtId="2" fontId="0" fillId="0" borderId="0" xfId="0" applyNumberFormat="1"/>
    <xf numFmtId="167" fontId="0" fillId="0" borderId="0" xfId="0" applyNumberFormat="1"/>
    <xf numFmtId="0" fontId="0" fillId="0" borderId="0" xfId="0" applyAlignment="1">
      <alignment horizontal="left"/>
    </xf>
    <xf numFmtId="1" fontId="0" fillId="0" borderId="0" xfId="0" applyNumberFormat="1"/>
    <xf numFmtId="0" fontId="0" fillId="0" borderId="0" xfId="0" applyBorder="1"/>
    <xf numFmtId="14" fontId="1" fillId="3" borderId="2" xfId="1" applyNumberFormat="1" applyFont="1" applyProtection="1">
      <protection locked="0"/>
    </xf>
    <xf numFmtId="168" fontId="0" fillId="0" borderId="0" xfId="0" applyNumberFormat="1"/>
    <xf numFmtId="0" fontId="7" fillId="0" borderId="0" xfId="0" applyFont="1"/>
    <xf numFmtId="0" fontId="0" fillId="0" borderId="0" xfId="0" applyAlignment="1">
      <alignment horizontal="center"/>
    </xf>
    <xf numFmtId="168" fontId="5" fillId="0" borderId="0" xfId="0" applyNumberFormat="1" applyFont="1"/>
    <xf numFmtId="168" fontId="1" fillId="0" borderId="0" xfId="0" applyNumberFormat="1" applyFont="1"/>
    <xf numFmtId="165" fontId="1" fillId="0" borderId="0" xfId="0" applyNumberFormat="1" applyFont="1"/>
    <xf numFmtId="165" fontId="0" fillId="0" borderId="0" xfId="2" applyNumberFormat="1" applyFont="1"/>
    <xf numFmtId="0" fontId="1" fillId="0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3">
    <cellStyle name="Normal" xfId="0" builtinId="0"/>
    <cellStyle name="Note" xfId="1" builtinId="1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zoomScale="150" zoomScaleNormal="150" workbookViewId="0"/>
  </sheetViews>
  <sheetFormatPr defaultRowHeight="15" x14ac:dyDescent="0.25"/>
  <sheetData>
    <row r="1" spans="1:2" x14ac:dyDescent="0.25">
      <c r="A1" s="9" t="s">
        <v>86</v>
      </c>
    </row>
    <row r="3" spans="1:2" x14ac:dyDescent="0.25">
      <c r="B3" t="s">
        <v>189</v>
      </c>
    </row>
    <row r="4" spans="1:2" x14ac:dyDescent="0.25">
      <c r="B4" t="s">
        <v>191</v>
      </c>
    </row>
    <row r="5" spans="1:2" x14ac:dyDescent="0.25">
      <c r="B5" t="s">
        <v>190</v>
      </c>
    </row>
  </sheetData>
  <sheetProtection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69"/>
  <sheetViews>
    <sheetView topLeftCell="A61" zoomScale="150" zoomScaleNormal="150" workbookViewId="0">
      <selection activeCell="A61" sqref="A61"/>
    </sheetView>
  </sheetViews>
  <sheetFormatPr defaultRowHeight="15" x14ac:dyDescent="0.25"/>
  <sheetData>
    <row r="1" spans="1:12" x14ac:dyDescent="0.25">
      <c r="A1" s="1"/>
      <c r="F1" s="2"/>
    </row>
    <row r="2" spans="1:12" x14ac:dyDescent="0.25">
      <c r="A2" s="3" t="str">
        <f>'Table Titles'!$B$4</f>
        <v>Table 1.  Pro Forma Income Statement for Big Creek Farms, 2025</v>
      </c>
      <c r="B2" s="4"/>
      <c r="C2" s="4"/>
      <c r="D2" s="3"/>
      <c r="E2" s="4"/>
      <c r="F2" s="4"/>
      <c r="G2" s="4"/>
      <c r="H2" s="4"/>
      <c r="I2" s="4"/>
      <c r="J2" s="4"/>
    </row>
    <row r="4" spans="1:12" x14ac:dyDescent="0.25">
      <c r="A4" s="2" t="s">
        <v>0</v>
      </c>
    </row>
    <row r="6" spans="1:12" x14ac:dyDescent="0.25">
      <c r="A6" t="s">
        <v>1</v>
      </c>
      <c r="F6" s="5" t="s">
        <v>2</v>
      </c>
      <c r="I6" s="6">
        <f>'Crop Income'!$L$32+L6</f>
        <v>604828.75</v>
      </c>
      <c r="J6" s="6"/>
      <c r="K6" s="6"/>
      <c r="L6" s="6">
        <f>((40*'Crop Income'!$K$26)-98)*180</f>
        <v>3960</v>
      </c>
    </row>
    <row r="7" spans="1:12" x14ac:dyDescent="0.25">
      <c r="A7" t="s">
        <v>3</v>
      </c>
      <c r="F7" s="5" t="s">
        <v>4</v>
      </c>
      <c r="I7" s="6">
        <f>'Crop Income'!$L$43</f>
        <v>187543.75</v>
      </c>
      <c r="J7" s="6"/>
    </row>
    <row r="8" spans="1:12" x14ac:dyDescent="0.25">
      <c r="A8" t="s">
        <v>5</v>
      </c>
      <c r="F8" s="5" t="s">
        <v>6</v>
      </c>
      <c r="I8" s="6">
        <f>'Crop Income'!$L$18</f>
        <v>180070</v>
      </c>
      <c r="J8" s="6"/>
    </row>
    <row r="9" spans="1:12" x14ac:dyDescent="0.25">
      <c r="A9" t="s">
        <v>7</v>
      </c>
      <c r="G9" s="5" t="s">
        <v>8</v>
      </c>
      <c r="I9" s="6"/>
      <c r="J9" s="6">
        <f>(I6+I7-I8)</f>
        <v>612302.5</v>
      </c>
    </row>
    <row r="10" spans="1:12" x14ac:dyDescent="0.25">
      <c r="A10" t="s">
        <v>9</v>
      </c>
      <c r="F10" s="7"/>
      <c r="I10" s="6"/>
      <c r="J10" s="6"/>
    </row>
    <row r="11" spans="1:12" x14ac:dyDescent="0.25">
      <c r="F11" s="7"/>
      <c r="I11" s="6"/>
      <c r="J11" s="6"/>
    </row>
    <row r="12" spans="1:12" x14ac:dyDescent="0.25">
      <c r="A12" t="s">
        <v>10</v>
      </c>
      <c r="F12" s="5" t="s">
        <v>11</v>
      </c>
      <c r="G12" s="5"/>
      <c r="I12" s="20">
        <f>'Other Income'!$G$3</f>
        <v>62500</v>
      </c>
      <c r="J12" s="6"/>
    </row>
    <row r="13" spans="1:12" x14ac:dyDescent="0.25">
      <c r="A13" t="s">
        <v>12</v>
      </c>
      <c r="F13" s="5" t="s">
        <v>13</v>
      </c>
      <c r="G13" s="5"/>
      <c r="I13" s="20">
        <f>'Other Income'!$G$4</f>
        <v>0</v>
      </c>
      <c r="J13" s="6"/>
    </row>
    <row r="14" spans="1:12" x14ac:dyDescent="0.25">
      <c r="A14" t="s">
        <v>14</v>
      </c>
      <c r="F14" s="5" t="s">
        <v>15</v>
      </c>
      <c r="G14" s="5"/>
      <c r="I14" s="20">
        <f>'Other Income'!$G$5</f>
        <v>0</v>
      </c>
      <c r="J14" s="6"/>
    </row>
    <row r="15" spans="1:12" x14ac:dyDescent="0.25">
      <c r="A15" t="s">
        <v>16</v>
      </c>
      <c r="F15" s="5"/>
      <c r="G15" s="5" t="s">
        <v>17</v>
      </c>
      <c r="I15" s="6"/>
      <c r="J15" s="6">
        <f>(I12+I13-I14)</f>
        <v>62500</v>
      </c>
    </row>
    <row r="16" spans="1:12" x14ac:dyDescent="0.25">
      <c r="A16" t="s">
        <v>18</v>
      </c>
      <c r="F16" s="5"/>
      <c r="G16" s="5"/>
      <c r="I16" s="6"/>
      <c r="J16" s="6"/>
    </row>
    <row r="17" spans="1:10" x14ac:dyDescent="0.25">
      <c r="F17" s="7"/>
      <c r="G17" s="7"/>
      <c r="I17" s="6"/>
      <c r="J17" s="6"/>
    </row>
    <row r="18" spans="1:10" x14ac:dyDescent="0.25">
      <c r="A18" t="s">
        <v>19</v>
      </c>
      <c r="F18" s="7"/>
      <c r="G18" s="5" t="s">
        <v>20</v>
      </c>
      <c r="I18" s="6"/>
      <c r="J18" s="20">
        <f>'Other Income'!$G$7</f>
        <v>0</v>
      </c>
    </row>
    <row r="19" spans="1:10" x14ac:dyDescent="0.25">
      <c r="A19" t="s">
        <v>21</v>
      </c>
      <c r="F19" s="7"/>
      <c r="G19" s="5" t="s">
        <v>22</v>
      </c>
      <c r="I19" s="6"/>
      <c r="J19" s="20">
        <f>'Other Income'!$G$8</f>
        <v>0</v>
      </c>
    </row>
    <row r="20" spans="1:10" x14ac:dyDescent="0.25">
      <c r="A20" t="s">
        <v>23</v>
      </c>
      <c r="F20" s="7"/>
      <c r="G20" s="5" t="s">
        <v>24</v>
      </c>
      <c r="I20" s="6"/>
      <c r="J20" s="20">
        <f>'Other Income'!$G$9</f>
        <v>0</v>
      </c>
    </row>
    <row r="21" spans="1:10" x14ac:dyDescent="0.25">
      <c r="A21" t="s">
        <v>25</v>
      </c>
      <c r="F21" s="7"/>
      <c r="G21" s="5" t="s">
        <v>26</v>
      </c>
      <c r="I21" s="6"/>
      <c r="J21" s="20">
        <f>'Other Income'!$G$10</f>
        <v>0</v>
      </c>
    </row>
    <row r="22" spans="1:10" x14ac:dyDescent="0.25">
      <c r="F22" s="7"/>
      <c r="G22" s="7"/>
      <c r="I22" s="6"/>
      <c r="J22" s="6"/>
    </row>
    <row r="23" spans="1:10" x14ac:dyDescent="0.25">
      <c r="A23" t="s">
        <v>27</v>
      </c>
      <c r="F23" s="7"/>
      <c r="G23" s="5" t="s">
        <v>28</v>
      </c>
      <c r="I23" s="6"/>
      <c r="J23" s="6">
        <f>(J9+J15+J18+J19+J20+J21)</f>
        <v>674802.5</v>
      </c>
    </row>
    <row r="24" spans="1:10" x14ac:dyDescent="0.25">
      <c r="A24" t="s">
        <v>29</v>
      </c>
      <c r="F24" s="7"/>
      <c r="G24" s="5"/>
      <c r="I24" s="6"/>
      <c r="J24" s="6"/>
    </row>
    <row r="25" spans="1:10" x14ac:dyDescent="0.25">
      <c r="F25" s="7"/>
      <c r="G25" s="5"/>
      <c r="I25" s="6"/>
      <c r="J25" s="6"/>
    </row>
    <row r="26" spans="1:10" x14ac:dyDescent="0.25">
      <c r="A26" t="s">
        <v>30</v>
      </c>
      <c r="F26" s="7"/>
      <c r="G26" s="5" t="s">
        <v>31</v>
      </c>
      <c r="I26" s="6"/>
      <c r="J26" s="6">
        <f>'Other Income'!$G$12</f>
        <v>0</v>
      </c>
    </row>
    <row r="27" spans="1:10" x14ac:dyDescent="0.25">
      <c r="A27" t="s">
        <v>32</v>
      </c>
      <c r="F27" s="7"/>
      <c r="G27" s="5" t="s">
        <v>33</v>
      </c>
      <c r="I27" s="6"/>
      <c r="J27" s="6">
        <f>'Other Income'!$G$13</f>
        <v>0</v>
      </c>
    </row>
    <row r="28" spans="1:10" x14ac:dyDescent="0.25">
      <c r="F28" s="7"/>
      <c r="G28" s="5"/>
      <c r="I28" s="6"/>
      <c r="J28" s="6"/>
    </row>
    <row r="29" spans="1:10" x14ac:dyDescent="0.25">
      <c r="A29" t="s">
        <v>34</v>
      </c>
      <c r="F29" s="7"/>
      <c r="G29" s="5" t="s">
        <v>35</v>
      </c>
      <c r="I29" s="6"/>
      <c r="J29" s="6">
        <f>(J23-J26-J27)</f>
        <v>674802.5</v>
      </c>
    </row>
    <row r="30" spans="1:10" x14ac:dyDescent="0.25">
      <c r="A30" t="s">
        <v>36</v>
      </c>
      <c r="F30" s="7"/>
      <c r="G30" s="7"/>
      <c r="I30" s="6"/>
      <c r="J30" s="6"/>
    </row>
    <row r="31" spans="1:10" x14ac:dyDescent="0.25">
      <c r="F31" s="7"/>
      <c r="G31" s="7"/>
      <c r="I31" s="6"/>
      <c r="J31" s="6"/>
    </row>
    <row r="32" spans="1:10" x14ac:dyDescent="0.25">
      <c r="A32" s="2" t="s">
        <v>37</v>
      </c>
      <c r="F32" s="7"/>
      <c r="G32" s="7"/>
      <c r="I32" s="6"/>
      <c r="J32" s="6"/>
    </row>
    <row r="33" spans="1:10" x14ac:dyDescent="0.25">
      <c r="F33" s="7"/>
      <c r="G33" s="7"/>
      <c r="I33" s="6"/>
      <c r="J33" s="6"/>
    </row>
    <row r="34" spans="1:10" x14ac:dyDescent="0.25">
      <c r="A34" t="s">
        <v>38</v>
      </c>
      <c r="F34" s="7"/>
      <c r="G34" s="5" t="s">
        <v>39</v>
      </c>
      <c r="I34" s="6"/>
      <c r="J34" s="6">
        <f>Expenses!L14</f>
        <v>116750</v>
      </c>
    </row>
    <row r="35" spans="1:10" x14ac:dyDescent="0.25">
      <c r="A35" t="s">
        <v>40</v>
      </c>
      <c r="F35" s="7"/>
      <c r="G35" s="5" t="s">
        <v>41</v>
      </c>
      <c r="I35" s="6"/>
      <c r="J35" s="6">
        <f>Expenses!L15</f>
        <v>82840</v>
      </c>
    </row>
    <row r="36" spans="1:10" x14ac:dyDescent="0.25">
      <c r="A36" t="s">
        <v>42</v>
      </c>
      <c r="F36" s="7"/>
      <c r="G36" s="5" t="s">
        <v>43</v>
      </c>
      <c r="I36" s="6"/>
      <c r="J36" s="6">
        <f>Expenses!L16</f>
        <v>73000</v>
      </c>
    </row>
    <row r="37" spans="1:10" x14ac:dyDescent="0.25">
      <c r="A37" t="s">
        <v>44</v>
      </c>
      <c r="F37" s="7"/>
      <c r="G37" s="5" t="s">
        <v>45</v>
      </c>
      <c r="I37" s="6"/>
      <c r="J37" s="6">
        <f>Expenses!L17</f>
        <v>11000</v>
      </c>
    </row>
    <row r="38" spans="1:10" x14ac:dyDescent="0.25">
      <c r="A38" t="s">
        <v>46</v>
      </c>
      <c r="F38" s="7"/>
      <c r="G38" s="5" t="s">
        <v>47</v>
      </c>
      <c r="I38" s="6"/>
      <c r="J38" s="6">
        <f>Expenses!L18</f>
        <v>14000</v>
      </c>
    </row>
    <row r="39" spans="1:10" x14ac:dyDescent="0.25">
      <c r="A39" t="s">
        <v>48</v>
      </c>
      <c r="F39" s="7"/>
      <c r="G39" s="5" t="s">
        <v>49</v>
      </c>
      <c r="I39" s="6"/>
      <c r="J39" s="6">
        <f>Expenses!L19</f>
        <v>37500</v>
      </c>
    </row>
    <row r="40" spans="1:10" x14ac:dyDescent="0.25">
      <c r="A40" t="s">
        <v>50</v>
      </c>
      <c r="F40" s="7"/>
      <c r="G40" s="5" t="s">
        <v>51</v>
      </c>
      <c r="I40" s="6"/>
      <c r="J40" s="6">
        <f>Expenses!L20</f>
        <v>10750</v>
      </c>
    </row>
    <row r="41" spans="1:10" x14ac:dyDescent="0.25">
      <c r="A41" t="s">
        <v>52</v>
      </c>
      <c r="F41" s="7"/>
      <c r="G41" s="5" t="s">
        <v>53</v>
      </c>
      <c r="I41" s="6"/>
      <c r="J41" s="6">
        <f>Expenses!L21</f>
        <v>10000</v>
      </c>
    </row>
    <row r="42" spans="1:10" x14ac:dyDescent="0.25">
      <c r="A42" t="s">
        <v>54</v>
      </c>
      <c r="F42" s="7"/>
      <c r="G42" s="5" t="s">
        <v>55</v>
      </c>
      <c r="I42" s="6"/>
      <c r="J42" s="6">
        <f>Expenses!L22</f>
        <v>25470</v>
      </c>
    </row>
    <row r="43" spans="1:10" x14ac:dyDescent="0.25">
      <c r="A43" t="s">
        <v>56</v>
      </c>
      <c r="F43" s="7"/>
      <c r="G43" s="5" t="s">
        <v>57</v>
      </c>
      <c r="I43" s="6"/>
      <c r="J43" s="6">
        <f>Expenses!L23</f>
        <v>0</v>
      </c>
    </row>
    <row r="44" spans="1:10" x14ac:dyDescent="0.25">
      <c r="A44" t="s">
        <v>58</v>
      </c>
      <c r="F44" s="7"/>
      <c r="G44" s="5" t="s">
        <v>59</v>
      </c>
      <c r="I44" s="6"/>
      <c r="J44" s="6">
        <f>Expenses!L24</f>
        <v>168170</v>
      </c>
    </row>
    <row r="45" spans="1:10" x14ac:dyDescent="0.25">
      <c r="F45" s="7"/>
      <c r="G45" s="5"/>
      <c r="I45" s="6"/>
      <c r="J45" s="6"/>
    </row>
    <row r="46" spans="1:10" x14ac:dyDescent="0.25">
      <c r="A46" t="s">
        <v>179</v>
      </c>
      <c r="F46" s="7"/>
      <c r="G46" s="5" t="s">
        <v>61</v>
      </c>
      <c r="I46" s="6"/>
      <c r="J46" s="6">
        <f>SUM(J34:J44)</f>
        <v>549480</v>
      </c>
    </row>
    <row r="47" spans="1:10" x14ac:dyDescent="0.25">
      <c r="A47" t="s">
        <v>66</v>
      </c>
      <c r="F47" s="7"/>
      <c r="G47" s="5"/>
      <c r="I47" s="6"/>
      <c r="J47" s="6"/>
    </row>
    <row r="48" spans="1:10" x14ac:dyDescent="0.25">
      <c r="F48" s="7"/>
      <c r="G48" s="5"/>
      <c r="I48" s="6"/>
      <c r="J48" s="6"/>
    </row>
    <row r="49" spans="1:10" x14ac:dyDescent="0.25">
      <c r="A49" t="s">
        <v>67</v>
      </c>
      <c r="F49" s="7"/>
      <c r="G49" s="5" t="s">
        <v>63</v>
      </c>
      <c r="I49" s="6"/>
      <c r="J49" s="6">
        <f>('Inventories and Financing'!$F$8-'Inventories and Financing'!$H$8)</f>
        <v>0</v>
      </c>
    </row>
    <row r="50" spans="1:10" x14ac:dyDescent="0.25">
      <c r="A50" t="s">
        <v>69</v>
      </c>
      <c r="F50" s="7"/>
      <c r="G50" s="5" t="s">
        <v>65</v>
      </c>
      <c r="I50" s="6"/>
      <c r="J50" s="6">
        <f>Expenses!L30</f>
        <v>70720</v>
      </c>
    </row>
    <row r="51" spans="1:10" x14ac:dyDescent="0.25">
      <c r="F51" s="7"/>
      <c r="G51" s="5"/>
      <c r="I51" s="6"/>
      <c r="J51" s="6"/>
    </row>
    <row r="52" spans="1:10" x14ac:dyDescent="0.25">
      <c r="A52" t="s">
        <v>60</v>
      </c>
      <c r="F52" s="7"/>
      <c r="G52" s="5" t="s">
        <v>68</v>
      </c>
      <c r="I52" s="6"/>
      <c r="J52" s="6">
        <f>Expenses!L25</f>
        <v>28240</v>
      </c>
    </row>
    <row r="53" spans="1:10" x14ac:dyDescent="0.25">
      <c r="A53" t="s">
        <v>62</v>
      </c>
      <c r="F53" s="7"/>
      <c r="G53" s="5" t="s">
        <v>70</v>
      </c>
      <c r="I53" s="6"/>
      <c r="J53" s="6">
        <f>Expenses!L26+('Inventories and Financing'!$H$22-'Inventories and Financing'!$F$22)</f>
        <v>26406</v>
      </c>
    </row>
    <row r="54" spans="1:10" x14ac:dyDescent="0.25">
      <c r="F54" s="7"/>
      <c r="G54" s="5"/>
      <c r="I54" s="6"/>
      <c r="J54" s="6"/>
    </row>
    <row r="55" spans="1:10" x14ac:dyDescent="0.25">
      <c r="A55" t="s">
        <v>178</v>
      </c>
      <c r="F55" s="7"/>
      <c r="G55" s="5" t="s">
        <v>72</v>
      </c>
      <c r="I55" s="6"/>
      <c r="J55" s="6">
        <f>(J46+J49+J50+J52+J53)</f>
        <v>674846</v>
      </c>
    </row>
    <row r="56" spans="1:10" x14ac:dyDescent="0.25">
      <c r="A56" t="s">
        <v>73</v>
      </c>
      <c r="F56" s="7"/>
      <c r="G56" s="5"/>
      <c r="I56" s="6"/>
      <c r="J56" s="6"/>
    </row>
    <row r="57" spans="1:10" x14ac:dyDescent="0.25">
      <c r="G57" s="5"/>
      <c r="I57" s="6"/>
      <c r="J57" s="6"/>
    </row>
    <row r="58" spans="1:10" x14ac:dyDescent="0.25">
      <c r="A58" t="s">
        <v>74</v>
      </c>
      <c r="G58" s="5" t="s">
        <v>75</v>
      </c>
      <c r="I58" s="6"/>
      <c r="J58" s="6">
        <f>(J29-J55)</f>
        <v>-43.5</v>
      </c>
    </row>
    <row r="59" spans="1:10" x14ac:dyDescent="0.25">
      <c r="A59" t="s">
        <v>76</v>
      </c>
      <c r="G59" s="8"/>
      <c r="I59" s="6"/>
      <c r="J59" s="6"/>
    </row>
    <row r="60" spans="1:10" x14ac:dyDescent="0.25">
      <c r="G60" s="8"/>
      <c r="I60" s="6"/>
      <c r="J60" s="6"/>
    </row>
    <row r="61" spans="1:10" x14ac:dyDescent="0.25">
      <c r="A61" t="s">
        <v>77</v>
      </c>
      <c r="G61" s="5" t="s">
        <v>78</v>
      </c>
      <c r="I61" s="6"/>
      <c r="J61" s="6">
        <v>0</v>
      </c>
    </row>
    <row r="62" spans="1:10" x14ac:dyDescent="0.25">
      <c r="G62" s="5"/>
      <c r="I62" s="6"/>
      <c r="J62" s="6"/>
    </row>
    <row r="63" spans="1:10" x14ac:dyDescent="0.25">
      <c r="A63" t="s">
        <v>79</v>
      </c>
      <c r="G63" s="5" t="s">
        <v>80</v>
      </c>
      <c r="I63" s="6"/>
      <c r="J63" s="6">
        <f>(J58+J61)</f>
        <v>-43.5</v>
      </c>
    </row>
    <row r="64" spans="1:10" x14ac:dyDescent="0.25">
      <c r="A64" t="s">
        <v>81</v>
      </c>
      <c r="G64" s="5"/>
    </row>
    <row r="65" spans="1:10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</row>
    <row r="69" spans="1:10" x14ac:dyDescent="0.25">
      <c r="A69" t="s">
        <v>209</v>
      </c>
      <c r="C69" s="53">
        <f>((J63+J52+J53)-50000)/J29</f>
        <v>6.8205141504366091E-3</v>
      </c>
    </row>
  </sheetData>
  <sheetProtection sheet="1" objects="1" scenarios="1"/>
  <pageMargins left="0.7" right="0.7" top="0.75" bottom="0.75" header="0.3" footer="0.3"/>
  <ignoredErrors>
    <ignoredError sqref="G9 G15 G18:G21 G23 G26:G27 G29 G34:G44 G55:G63 G51 G45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M48"/>
  <sheetViews>
    <sheetView tabSelected="1" zoomScale="150" zoomScaleNormal="150" workbookViewId="0">
      <selection activeCell="M44" sqref="M44"/>
    </sheetView>
  </sheetViews>
  <sheetFormatPr defaultRowHeight="15" x14ac:dyDescent="0.25"/>
  <sheetData>
    <row r="2" spans="1:13" x14ac:dyDescent="0.25">
      <c r="A2" s="32" t="str">
        <f>'Table Titles'!$B$8</f>
        <v>Table 2.  Sources and Uses of Funds Statement for Big Creek Farms, 2025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3" x14ac:dyDescent="0.25">
      <c r="M3" s="38"/>
    </row>
    <row r="4" spans="1:13" x14ac:dyDescent="0.25">
      <c r="A4" t="s">
        <v>117</v>
      </c>
      <c r="K4" s="6">
        <f>'Inventories and Financing'!$F$5</f>
        <v>523478</v>
      </c>
      <c r="M4" s="38"/>
    </row>
    <row r="5" spans="1:13" x14ac:dyDescent="0.25">
      <c r="M5" s="38"/>
    </row>
    <row r="6" spans="1:13" x14ac:dyDescent="0.25">
      <c r="A6" t="s">
        <v>118</v>
      </c>
    </row>
    <row r="7" spans="1:13" x14ac:dyDescent="0.25">
      <c r="M7" s="38"/>
    </row>
    <row r="8" spans="1:13" x14ac:dyDescent="0.25">
      <c r="B8" t="s">
        <v>111</v>
      </c>
      <c r="I8" s="6">
        <f>'Tax Estimate'!$B$3</f>
        <v>667328.75</v>
      </c>
    </row>
    <row r="9" spans="1:13" x14ac:dyDescent="0.25">
      <c r="B9" t="s">
        <v>119</v>
      </c>
      <c r="I9" s="6">
        <f>NonFarm!$G$4</f>
        <v>0</v>
      </c>
    </row>
    <row r="10" spans="1:13" x14ac:dyDescent="0.25">
      <c r="B10" t="s">
        <v>120</v>
      </c>
      <c r="I10" s="6">
        <f>SUM(I8:I9)</f>
        <v>667328.75</v>
      </c>
    </row>
    <row r="11" spans="1:13" x14ac:dyDescent="0.25">
      <c r="I11" s="6"/>
    </row>
    <row r="12" spans="1:13" x14ac:dyDescent="0.25">
      <c r="B12" t="s">
        <v>110</v>
      </c>
      <c r="I12" s="6">
        <f>'Tax Estimate'!$B$5</f>
        <v>603720</v>
      </c>
    </row>
    <row r="13" spans="1:13" x14ac:dyDescent="0.25">
      <c r="B13" t="s">
        <v>121</v>
      </c>
      <c r="I13" s="10">
        <v>50000</v>
      </c>
    </row>
    <row r="14" spans="1:13" x14ac:dyDescent="0.25">
      <c r="B14" t="s">
        <v>122</v>
      </c>
      <c r="I14" s="10">
        <f>'Tax Estimate'!$B$17</f>
        <v>0</v>
      </c>
    </row>
    <row r="15" spans="1:13" x14ac:dyDescent="0.25">
      <c r="B15" t="s">
        <v>123</v>
      </c>
      <c r="I15" s="10">
        <f>SUM(I12:I14)</f>
        <v>653720</v>
      </c>
    </row>
    <row r="16" spans="1:13" x14ac:dyDescent="0.25">
      <c r="G16" s="10"/>
    </row>
    <row r="17" spans="1:11" x14ac:dyDescent="0.25">
      <c r="B17" t="s">
        <v>124</v>
      </c>
      <c r="K17" s="10">
        <f>I10-I15</f>
        <v>13608.75</v>
      </c>
    </row>
    <row r="18" spans="1:11" x14ac:dyDescent="0.25">
      <c r="G18" s="10"/>
    </row>
    <row r="19" spans="1:11" x14ac:dyDescent="0.25">
      <c r="A19" t="s">
        <v>125</v>
      </c>
      <c r="G19" s="6"/>
    </row>
    <row r="20" spans="1:11" x14ac:dyDescent="0.25">
      <c r="G20" s="6"/>
    </row>
    <row r="21" spans="1:11" x14ac:dyDescent="0.25">
      <c r="B21" t="s">
        <v>126</v>
      </c>
      <c r="H21" s="8"/>
      <c r="I21" s="6">
        <v>0</v>
      </c>
    </row>
    <row r="22" spans="1:11" x14ac:dyDescent="0.25">
      <c r="B22" t="s">
        <v>127</v>
      </c>
      <c r="H22" s="8"/>
      <c r="I22" s="6">
        <v>0</v>
      </c>
    </row>
    <row r="23" spans="1:11" x14ac:dyDescent="0.25">
      <c r="G23" s="6"/>
      <c r="H23" s="8"/>
    </row>
    <row r="24" spans="1:11" x14ac:dyDescent="0.25">
      <c r="B24" t="s">
        <v>128</v>
      </c>
      <c r="H24" s="8"/>
      <c r="K24" s="6">
        <f>I21+I22</f>
        <v>0</v>
      </c>
    </row>
    <row r="25" spans="1:11" x14ac:dyDescent="0.25">
      <c r="G25" s="6"/>
      <c r="H25" s="8"/>
    </row>
    <row r="26" spans="1:11" x14ac:dyDescent="0.25">
      <c r="A26" t="s">
        <v>129</v>
      </c>
      <c r="G26" s="6"/>
      <c r="H26" s="8"/>
    </row>
    <row r="27" spans="1:11" x14ac:dyDescent="0.25">
      <c r="G27" s="6"/>
      <c r="H27" s="8"/>
    </row>
    <row r="28" spans="1:11" x14ac:dyDescent="0.25">
      <c r="B28" t="s">
        <v>130</v>
      </c>
      <c r="G28" s="6"/>
      <c r="H28" s="8"/>
      <c r="I28" s="6">
        <f>IF((('Inventories and Financing'!$H$20-'Inventories and Financing'!$F$20)+('Inventories and Financing'!$H$21-'Inventories and Financing'!$F$21))&gt;0, (('Inventories and Financing'!$H$20-'Inventories and Financing'!$F$20)+('Inventories and Financing'!$H$21-'Inventories and Financing'!$F$21)), 0)</f>
        <v>0</v>
      </c>
    </row>
    <row r="29" spans="1:11" x14ac:dyDescent="0.25">
      <c r="B29" t="s">
        <v>131</v>
      </c>
      <c r="G29" s="6"/>
      <c r="H29" s="8"/>
      <c r="I29" s="6">
        <f>'Inventories and Financing'!$G$29</f>
        <v>0</v>
      </c>
    </row>
    <row r="30" spans="1:11" x14ac:dyDescent="0.25">
      <c r="B30" t="s">
        <v>132</v>
      </c>
      <c r="G30" s="6"/>
      <c r="H30" s="8"/>
      <c r="I30" s="6">
        <f>'Inventories and Financing'!$G$30</f>
        <v>0</v>
      </c>
    </row>
    <row r="31" spans="1:11" x14ac:dyDescent="0.25">
      <c r="B31" t="s">
        <v>133</v>
      </c>
      <c r="G31" s="6"/>
      <c r="H31" s="8"/>
      <c r="I31" s="6">
        <f>'Inventories and Financing'!$G$31</f>
        <v>0</v>
      </c>
    </row>
    <row r="32" spans="1:11" x14ac:dyDescent="0.25">
      <c r="B32" t="s">
        <v>134</v>
      </c>
      <c r="G32" s="6"/>
      <c r="H32" s="8"/>
      <c r="I32" s="6">
        <f>SUM(I28:I31)</f>
        <v>0</v>
      </c>
    </row>
    <row r="33" spans="1:13" x14ac:dyDescent="0.25">
      <c r="G33" s="6"/>
      <c r="H33" s="8"/>
      <c r="I33" s="6"/>
    </row>
    <row r="34" spans="1:13" x14ac:dyDescent="0.25">
      <c r="B34" t="s">
        <v>135</v>
      </c>
      <c r="G34" s="6"/>
      <c r="H34" s="8"/>
      <c r="I34" s="6">
        <f>IF(('Inventories and Financing'!$H$20-'Inventories and Financing'!$F$20)&lt;0, ('Inventories and Financing'!$F$20-'Inventories and Financing'!$H$20), 0)</f>
        <v>0</v>
      </c>
    </row>
    <row r="35" spans="1:13" x14ac:dyDescent="0.25">
      <c r="B35" t="s">
        <v>136</v>
      </c>
      <c r="G35" s="6"/>
      <c r="I35" s="6">
        <f>'Inventories and Financing'!$G$34</f>
        <v>20807</v>
      </c>
    </row>
    <row r="36" spans="1:13" x14ac:dyDescent="0.25">
      <c r="B36" t="s">
        <v>137</v>
      </c>
      <c r="G36" s="6"/>
      <c r="I36" s="6">
        <f>'Inventories and Financing'!$G$35</f>
        <v>0</v>
      </c>
    </row>
    <row r="37" spans="1:13" x14ac:dyDescent="0.25">
      <c r="B37" t="s">
        <v>138</v>
      </c>
      <c r="G37" s="6"/>
      <c r="I37" s="6">
        <f>'Inventories and Financing'!$G$36</f>
        <v>0</v>
      </c>
    </row>
    <row r="38" spans="1:13" x14ac:dyDescent="0.25">
      <c r="B38" t="s">
        <v>139</v>
      </c>
      <c r="G38" s="6"/>
      <c r="I38" s="6">
        <f>SUM(I34:I37)</f>
        <v>20807</v>
      </c>
    </row>
    <row r="39" spans="1:13" x14ac:dyDescent="0.25">
      <c r="G39" s="6"/>
      <c r="I39" s="6"/>
    </row>
    <row r="40" spans="1:13" x14ac:dyDescent="0.25">
      <c r="A40" s="7"/>
      <c r="B40" t="s">
        <v>140</v>
      </c>
      <c r="H40" s="8"/>
      <c r="I40" s="6"/>
      <c r="K40" s="6">
        <f>I32-I38</f>
        <v>-20807</v>
      </c>
    </row>
    <row r="41" spans="1:13" x14ac:dyDescent="0.25">
      <c r="A41" s="7"/>
      <c r="G41" s="6"/>
      <c r="H41" s="8"/>
      <c r="I41" s="6"/>
    </row>
    <row r="42" spans="1:13" x14ac:dyDescent="0.25">
      <c r="A42" s="7" t="s">
        <v>141</v>
      </c>
      <c r="H42" s="8"/>
      <c r="K42" s="6">
        <f>'Inventories and Financing'!$H$5</f>
        <v>516280</v>
      </c>
    </row>
    <row r="43" spans="1:13" x14ac:dyDescent="0.25">
      <c r="A43" s="7"/>
      <c r="G43" s="10"/>
      <c r="I43" s="6"/>
    </row>
    <row r="44" spans="1:13" x14ac:dyDescent="0.25">
      <c r="A44" s="7" t="s">
        <v>142</v>
      </c>
      <c r="G44" s="10"/>
      <c r="K44" s="6">
        <f>K4+K17+K24+K40-K42</f>
        <v>-0.25</v>
      </c>
      <c r="M44">
        <f>513986+2294</f>
        <v>516280</v>
      </c>
    </row>
    <row r="45" spans="1:13" x14ac:dyDescent="0.25">
      <c r="A45" s="33"/>
      <c r="B45" s="4"/>
      <c r="C45" s="4"/>
      <c r="D45" s="4"/>
      <c r="E45" s="4"/>
      <c r="F45" s="4"/>
      <c r="G45" s="34"/>
      <c r="H45" s="4"/>
      <c r="I45" s="35"/>
      <c r="J45" s="4"/>
      <c r="K45" s="4"/>
    </row>
    <row r="46" spans="1:13" x14ac:dyDescent="0.25">
      <c r="A46" s="7"/>
      <c r="G46" s="5"/>
      <c r="I46" s="8"/>
    </row>
    <row r="47" spans="1:13" x14ac:dyDescent="0.25">
      <c r="A47" s="7" t="s">
        <v>143</v>
      </c>
      <c r="G47" s="5"/>
    </row>
    <row r="48" spans="1:13" x14ac:dyDescent="0.25">
      <c r="G48" s="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J22"/>
  <sheetViews>
    <sheetView topLeftCell="A15" zoomScale="150" zoomScaleNormal="150" workbookViewId="0">
      <selection activeCell="A15" sqref="A15"/>
    </sheetView>
  </sheetViews>
  <sheetFormatPr defaultRowHeight="15" x14ac:dyDescent="0.25"/>
  <cols>
    <col min="9" max="9" width="10.7109375" customWidth="1"/>
  </cols>
  <sheetData>
    <row r="2" spans="1:10" x14ac:dyDescent="0.25">
      <c r="A2" s="32" t="str">
        <f>'Table Titles'!$B$12</f>
        <v>Table 3.  Repayment Capacity Measures for Big Creek Farms, 2025</v>
      </c>
      <c r="B2" s="4"/>
      <c r="C2" s="4"/>
      <c r="D2" s="4"/>
      <c r="E2" s="4"/>
      <c r="F2" s="4"/>
      <c r="G2" s="4"/>
      <c r="H2" s="4"/>
      <c r="I2" s="4"/>
      <c r="J2" s="4"/>
    </row>
    <row r="4" spans="1:10" x14ac:dyDescent="0.25">
      <c r="A4" s="48" t="s">
        <v>196</v>
      </c>
    </row>
    <row r="6" spans="1:10" x14ac:dyDescent="0.25">
      <c r="B6" t="s">
        <v>197</v>
      </c>
      <c r="H6" s="49">
        <v>1</v>
      </c>
      <c r="I6" s="47">
        <f>'Income Statement'!$J$63</f>
        <v>-43.5</v>
      </c>
    </row>
    <row r="7" spans="1:10" x14ac:dyDescent="0.25">
      <c r="B7" t="s">
        <v>198</v>
      </c>
      <c r="H7" s="49">
        <v>2</v>
      </c>
      <c r="I7" s="6">
        <f>NonFarm!$G$4</f>
        <v>0</v>
      </c>
    </row>
    <row r="8" spans="1:10" x14ac:dyDescent="0.25">
      <c r="B8" t="s">
        <v>122</v>
      </c>
      <c r="H8" s="49">
        <v>3</v>
      </c>
      <c r="I8" s="6">
        <f>'Tax Estimate'!$B$17</f>
        <v>0</v>
      </c>
    </row>
    <row r="9" spans="1:10" x14ac:dyDescent="0.25">
      <c r="B9" t="s">
        <v>199</v>
      </c>
      <c r="H9" s="49">
        <v>4</v>
      </c>
      <c r="I9" s="6">
        <f>Expenses!$L$26+('Inventories and Financing'!$H$22-'Inventories and Financing'!$F$22)</f>
        <v>26406</v>
      </c>
    </row>
    <row r="10" spans="1:10" x14ac:dyDescent="0.25">
      <c r="B10" t="s">
        <v>69</v>
      </c>
      <c r="H10" s="49">
        <v>5</v>
      </c>
      <c r="I10" s="6">
        <f>'Income Statement'!$J$50</f>
        <v>70720</v>
      </c>
    </row>
    <row r="11" spans="1:10" x14ac:dyDescent="0.25">
      <c r="B11" t="s">
        <v>163</v>
      </c>
      <c r="H11" s="49">
        <v>6</v>
      </c>
      <c r="I11" s="6">
        <f>NonFarm!$G$7</f>
        <v>50000</v>
      </c>
    </row>
    <row r="12" spans="1:10" x14ac:dyDescent="0.25">
      <c r="B12" s="36" t="s">
        <v>200</v>
      </c>
      <c r="H12" s="49">
        <v>7</v>
      </c>
      <c r="I12" s="50">
        <f>(I6+I7-I8+I9+I10-I11)</f>
        <v>47082.5</v>
      </c>
    </row>
    <row r="13" spans="1:10" x14ac:dyDescent="0.25">
      <c r="B13" t="s">
        <v>201</v>
      </c>
      <c r="H13" s="49">
        <v>8</v>
      </c>
      <c r="I13" s="6">
        <f>'Inventories and Financing'!$G$34</f>
        <v>20807</v>
      </c>
    </row>
    <row r="14" spans="1:10" x14ac:dyDescent="0.25">
      <c r="B14" t="s">
        <v>202</v>
      </c>
      <c r="H14" s="49">
        <v>9</v>
      </c>
      <c r="I14" s="6">
        <f>'Inventories and Financing'!$G$37</f>
        <v>0</v>
      </c>
    </row>
    <row r="15" spans="1:10" x14ac:dyDescent="0.25">
      <c r="B15" s="9" t="s">
        <v>203</v>
      </c>
      <c r="H15" s="49">
        <v>10</v>
      </c>
      <c r="I15" s="51">
        <f>I12-I9-I13-I14</f>
        <v>-130.5</v>
      </c>
    </row>
    <row r="16" spans="1:10" x14ac:dyDescent="0.25">
      <c r="B16" t="s">
        <v>204</v>
      </c>
      <c r="H16" s="49">
        <v>11</v>
      </c>
      <c r="I16" s="6">
        <f>$I$10*1.15</f>
        <v>81328</v>
      </c>
    </row>
    <row r="17" spans="1:10" x14ac:dyDescent="0.25">
      <c r="B17" s="9" t="s">
        <v>205</v>
      </c>
      <c r="H17" s="49">
        <v>12</v>
      </c>
      <c r="I17" s="51">
        <f>I15-I16</f>
        <v>-81458.5</v>
      </c>
    </row>
    <row r="19" spans="1:10" x14ac:dyDescent="0.25">
      <c r="A19" s="48" t="s">
        <v>206</v>
      </c>
      <c r="H19" s="49">
        <v>13</v>
      </c>
      <c r="I19" s="52">
        <f>I12/(I9+I13+I14)</f>
        <v>0.99723593078177619</v>
      </c>
    </row>
    <row r="21" spans="1:10" x14ac:dyDescent="0.25">
      <c r="A21" s="48" t="s">
        <v>207</v>
      </c>
      <c r="H21" s="49">
        <v>14</v>
      </c>
      <c r="I21" s="52">
        <f>I12/(I9+I13+I14+I16)</f>
        <v>0.36628390941411687</v>
      </c>
    </row>
    <row r="22" spans="1:10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</row>
  </sheetData>
  <sheetProtection sheet="1" objects="1" scenarios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M62"/>
  <sheetViews>
    <sheetView topLeftCell="A17" zoomScale="150" zoomScaleNormal="150" workbookViewId="0">
      <selection activeCell="A24" sqref="A24"/>
    </sheetView>
  </sheetViews>
  <sheetFormatPr defaultRowHeight="15" x14ac:dyDescent="0.25"/>
  <cols>
    <col min="7" max="7" width="11.7109375" customWidth="1"/>
    <col min="8" max="8" width="6.7109375" customWidth="1"/>
    <col min="9" max="9" width="11.7109375" customWidth="1"/>
  </cols>
  <sheetData>
    <row r="2" spans="1:13" x14ac:dyDescent="0.25">
      <c r="A2" s="32" t="str">
        <f>'Table Titles'!$B$16</f>
        <v>Table 4.  Working Capital Ratios for Big Creek Farms, 2025</v>
      </c>
      <c r="B2" s="4"/>
      <c r="C2" s="4"/>
      <c r="D2" s="4"/>
      <c r="E2" s="4"/>
      <c r="F2" s="4"/>
      <c r="G2" s="4"/>
      <c r="H2" s="4"/>
      <c r="I2" s="4"/>
      <c r="J2" s="4"/>
      <c r="K2" s="45"/>
    </row>
    <row r="3" spans="1:13" x14ac:dyDescent="0.25">
      <c r="M3" s="38"/>
    </row>
    <row r="4" spans="1:13" x14ac:dyDescent="0.25">
      <c r="G4" s="39">
        <f>'Inventories and Financing'!$F$3</f>
        <v>45658</v>
      </c>
      <c r="I4" s="39">
        <f>'Inventories and Financing'!$H$3</f>
        <v>46022</v>
      </c>
      <c r="M4" s="38"/>
    </row>
    <row r="5" spans="1:13" x14ac:dyDescent="0.25">
      <c r="M5" s="38"/>
    </row>
    <row r="6" spans="1:13" x14ac:dyDescent="0.25">
      <c r="A6" s="37" t="s">
        <v>170</v>
      </c>
      <c r="M6" s="38"/>
    </row>
    <row r="7" spans="1:13" x14ac:dyDescent="0.25">
      <c r="M7" s="38"/>
    </row>
    <row r="8" spans="1:13" x14ac:dyDescent="0.25">
      <c r="A8" t="s">
        <v>171</v>
      </c>
      <c r="E8" s="5" t="s">
        <v>8</v>
      </c>
      <c r="G8" s="6">
        <f>'Inventories and Financing'!$F$12</f>
        <v>772548</v>
      </c>
      <c r="I8" s="6">
        <f>'Inventories and Financing'!$H$12</f>
        <v>772823.75</v>
      </c>
      <c r="M8" s="38"/>
    </row>
    <row r="9" spans="1:13" x14ac:dyDescent="0.25">
      <c r="A9" t="s">
        <v>172</v>
      </c>
      <c r="E9" s="5" t="s">
        <v>17</v>
      </c>
      <c r="G9" s="6">
        <f>'Inventories and Financing'!$F$24</f>
        <v>25401</v>
      </c>
      <c r="I9" s="6">
        <f>'Inventories and Financing'!$H$24</f>
        <v>25000</v>
      </c>
      <c r="M9" s="38"/>
    </row>
    <row r="10" spans="1:13" x14ac:dyDescent="0.25">
      <c r="A10" t="s">
        <v>173</v>
      </c>
      <c r="E10" s="5" t="s">
        <v>20</v>
      </c>
      <c r="I10" s="6">
        <f>'Income Statement'!$J$29</f>
        <v>674802.5</v>
      </c>
      <c r="M10" s="38"/>
    </row>
    <row r="11" spans="1:13" x14ac:dyDescent="0.25">
      <c r="A11" t="s">
        <v>174</v>
      </c>
      <c r="E11" s="5" t="s">
        <v>22</v>
      </c>
      <c r="I11" s="6">
        <f>'Income Statement'!$J$55</f>
        <v>674846</v>
      </c>
      <c r="M11" s="38"/>
    </row>
    <row r="12" spans="1:13" x14ac:dyDescent="0.25">
      <c r="A12" t="s">
        <v>175</v>
      </c>
      <c r="E12" s="5" t="s">
        <v>24</v>
      </c>
      <c r="G12" s="6">
        <f>SUM('Crop Acres'!$E$3:$E$5)</f>
        <v>750</v>
      </c>
      <c r="I12" s="6">
        <f>SUM('Crop Acres'!$E$3:$E$5)</f>
        <v>750</v>
      </c>
      <c r="M12" s="38"/>
    </row>
    <row r="13" spans="1:13" x14ac:dyDescent="0.25">
      <c r="M13" s="38"/>
    </row>
    <row r="14" spans="1:13" x14ac:dyDescent="0.25">
      <c r="A14" s="37" t="s">
        <v>176</v>
      </c>
      <c r="M14" s="38"/>
    </row>
    <row r="15" spans="1:13" x14ac:dyDescent="0.25">
      <c r="M15" s="38"/>
    </row>
    <row r="16" spans="1:13" x14ac:dyDescent="0.25">
      <c r="A16" t="s">
        <v>184</v>
      </c>
      <c r="E16" s="40" t="s">
        <v>180</v>
      </c>
      <c r="G16" s="6">
        <f>G8-G9</f>
        <v>747147</v>
      </c>
      <c r="I16" s="6">
        <f>I8-I9</f>
        <v>747823.75</v>
      </c>
      <c r="K16" s="6"/>
      <c r="M16" s="38"/>
    </row>
    <row r="17" spans="1:13" x14ac:dyDescent="0.25">
      <c r="M17" s="38"/>
    </row>
    <row r="18" spans="1:13" x14ac:dyDescent="0.25">
      <c r="A18" t="s">
        <v>177</v>
      </c>
      <c r="E18" t="s">
        <v>181</v>
      </c>
      <c r="G18" s="41">
        <f>G8/G9</f>
        <v>30.414078185898195</v>
      </c>
      <c r="I18" s="41">
        <f>I8/I9</f>
        <v>30.912949999999999</v>
      </c>
    </row>
    <row r="19" spans="1:13" x14ac:dyDescent="0.25">
      <c r="E19" s="5"/>
      <c r="M19" s="38"/>
    </row>
    <row r="20" spans="1:13" x14ac:dyDescent="0.25">
      <c r="A20" t="s">
        <v>182</v>
      </c>
      <c r="E20" s="40" t="s">
        <v>183</v>
      </c>
      <c r="I20" s="42">
        <f>I16/I10</f>
        <v>1.1082112914519433</v>
      </c>
    </row>
    <row r="21" spans="1:13" x14ac:dyDescent="0.25">
      <c r="E21" s="5"/>
      <c r="I21" s="6"/>
    </row>
    <row r="22" spans="1:13" x14ac:dyDescent="0.25">
      <c r="A22" t="s">
        <v>185</v>
      </c>
      <c r="E22" s="43" t="s">
        <v>186</v>
      </c>
      <c r="I22" s="42">
        <f>I16/I11</f>
        <v>1.1081398570933221</v>
      </c>
    </row>
    <row r="23" spans="1:13" x14ac:dyDescent="0.25">
      <c r="I23" s="6"/>
    </row>
    <row r="24" spans="1:13" x14ac:dyDescent="0.25">
      <c r="A24" t="s">
        <v>187</v>
      </c>
      <c r="E24" t="s">
        <v>188</v>
      </c>
      <c r="G24" s="44">
        <f>G16/G12</f>
        <v>996.19600000000003</v>
      </c>
      <c r="I24" s="44">
        <f>I16/I12</f>
        <v>997.09833333333336</v>
      </c>
    </row>
    <row r="25" spans="1:13" x14ac:dyDescent="0.25">
      <c r="A25" s="4"/>
      <c r="B25" s="4"/>
      <c r="C25" s="4"/>
      <c r="D25" s="4"/>
      <c r="E25" s="34"/>
      <c r="F25" s="4"/>
      <c r="G25" s="4"/>
      <c r="H25" s="4"/>
      <c r="I25" s="35"/>
      <c r="J25" s="4"/>
    </row>
    <row r="26" spans="1:13" x14ac:dyDescent="0.25">
      <c r="E26" s="5"/>
      <c r="I26" s="6"/>
    </row>
    <row r="27" spans="1:13" x14ac:dyDescent="0.25">
      <c r="E27" s="5"/>
      <c r="I27" s="10"/>
    </row>
    <row r="28" spans="1:13" x14ac:dyDescent="0.25">
      <c r="E28" s="5"/>
      <c r="I28" s="10"/>
    </row>
    <row r="29" spans="1:13" x14ac:dyDescent="0.25">
      <c r="I29" s="10"/>
    </row>
    <row r="30" spans="1:13" x14ac:dyDescent="0.25">
      <c r="G30" s="10"/>
    </row>
    <row r="31" spans="1:13" x14ac:dyDescent="0.25">
      <c r="K31" s="10"/>
    </row>
    <row r="32" spans="1:13" x14ac:dyDescent="0.25">
      <c r="G32" s="10"/>
    </row>
    <row r="33" spans="7:11" x14ac:dyDescent="0.25">
      <c r="G33" s="6"/>
    </row>
    <row r="34" spans="7:11" x14ac:dyDescent="0.25">
      <c r="G34" s="6"/>
    </row>
    <row r="35" spans="7:11" x14ac:dyDescent="0.25">
      <c r="H35" s="8"/>
      <c r="I35" s="6"/>
    </row>
    <row r="36" spans="7:11" x14ac:dyDescent="0.25">
      <c r="H36" s="8"/>
      <c r="I36" s="6"/>
    </row>
    <row r="37" spans="7:11" x14ac:dyDescent="0.25">
      <c r="G37" s="6"/>
      <c r="H37" s="8"/>
    </row>
    <row r="38" spans="7:11" x14ac:dyDescent="0.25">
      <c r="H38" s="8"/>
      <c r="K38" s="6"/>
    </row>
    <row r="39" spans="7:11" x14ac:dyDescent="0.25">
      <c r="G39" s="6"/>
      <c r="H39" s="8"/>
    </row>
    <row r="40" spans="7:11" x14ac:dyDescent="0.25">
      <c r="G40" s="6"/>
      <c r="H40" s="8"/>
    </row>
    <row r="41" spans="7:11" x14ac:dyDescent="0.25">
      <c r="G41" s="6"/>
      <c r="H41" s="8"/>
    </row>
    <row r="42" spans="7:11" x14ac:dyDescent="0.25">
      <c r="G42" s="6"/>
      <c r="H42" s="8"/>
      <c r="I42" s="6"/>
    </row>
    <row r="43" spans="7:11" x14ac:dyDescent="0.25">
      <c r="G43" s="6"/>
      <c r="H43" s="8"/>
      <c r="I43" s="6"/>
    </row>
    <row r="44" spans="7:11" x14ac:dyDescent="0.25">
      <c r="G44" s="6"/>
      <c r="H44" s="8"/>
      <c r="I44" s="6"/>
    </row>
    <row r="45" spans="7:11" x14ac:dyDescent="0.25">
      <c r="G45" s="6"/>
      <c r="H45" s="8"/>
      <c r="I45" s="6"/>
    </row>
    <row r="46" spans="7:11" x14ac:dyDescent="0.25">
      <c r="G46" s="6"/>
      <c r="H46" s="8"/>
      <c r="I46" s="6"/>
    </row>
    <row r="47" spans="7:11" x14ac:dyDescent="0.25">
      <c r="G47" s="6"/>
      <c r="H47" s="8"/>
      <c r="I47" s="6"/>
    </row>
    <row r="48" spans="7:11" x14ac:dyDescent="0.25">
      <c r="G48" s="6"/>
      <c r="H48" s="8"/>
      <c r="I48" s="6"/>
    </row>
    <row r="49" spans="1:11" x14ac:dyDescent="0.25">
      <c r="G49" s="6"/>
      <c r="I49" s="6"/>
    </row>
    <row r="50" spans="1:11" x14ac:dyDescent="0.25">
      <c r="G50" s="6"/>
      <c r="I50" s="6"/>
    </row>
    <row r="51" spans="1:11" x14ac:dyDescent="0.25">
      <c r="G51" s="6"/>
      <c r="I51" s="6"/>
    </row>
    <row r="52" spans="1:11" x14ac:dyDescent="0.25">
      <c r="G52" s="6"/>
      <c r="I52" s="6"/>
    </row>
    <row r="53" spans="1:11" x14ac:dyDescent="0.25">
      <c r="G53" s="6"/>
      <c r="I53" s="6"/>
    </row>
    <row r="54" spans="1:11" x14ac:dyDescent="0.25">
      <c r="A54" s="7"/>
      <c r="H54" s="8"/>
      <c r="I54" s="6"/>
      <c r="K54" s="6"/>
    </row>
    <row r="55" spans="1:11" x14ac:dyDescent="0.25">
      <c r="A55" s="7"/>
      <c r="G55" s="6"/>
      <c r="H55" s="8"/>
      <c r="I55" s="6"/>
    </row>
    <row r="56" spans="1:11" x14ac:dyDescent="0.25">
      <c r="A56" s="7"/>
      <c r="H56" s="8"/>
      <c r="K56" s="6"/>
    </row>
    <row r="57" spans="1:11" x14ac:dyDescent="0.25">
      <c r="A57" s="7"/>
      <c r="G57" s="10"/>
      <c r="I57" s="6"/>
    </row>
    <row r="58" spans="1:11" x14ac:dyDescent="0.25">
      <c r="A58" s="7"/>
      <c r="G58" s="10"/>
      <c r="K58" s="6"/>
    </row>
    <row r="59" spans="1:11" x14ac:dyDescent="0.25">
      <c r="A59" s="33"/>
      <c r="B59" s="4"/>
      <c r="C59" s="4"/>
      <c r="D59" s="4"/>
      <c r="E59" s="4"/>
      <c r="F59" s="4"/>
      <c r="G59" s="34"/>
      <c r="H59" s="4"/>
      <c r="I59" s="35"/>
      <c r="J59" s="4"/>
      <c r="K59" s="4"/>
    </row>
    <row r="60" spans="1:11" x14ac:dyDescent="0.25">
      <c r="A60" s="7"/>
      <c r="G60" s="5"/>
      <c r="I60" s="8"/>
    </row>
    <row r="61" spans="1:11" x14ac:dyDescent="0.25">
      <c r="A61" s="7"/>
      <c r="G61" s="5"/>
    </row>
    <row r="62" spans="1:11" x14ac:dyDescent="0.25">
      <c r="G62" s="7"/>
    </row>
  </sheetData>
  <sheetProtection sheet="1" objects="1" scenarios="1"/>
  <pageMargins left="0.7" right="0.7" top="0.75" bottom="0.75" header="0.3" footer="0.3"/>
  <ignoredErrors>
    <ignoredError sqref="E27 E8:E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6"/>
  <sheetViews>
    <sheetView zoomScale="150" zoomScaleNormal="150" workbookViewId="0"/>
  </sheetViews>
  <sheetFormatPr defaultRowHeight="15" x14ac:dyDescent="0.25"/>
  <sheetData>
    <row r="2" spans="1:10" x14ac:dyDescent="0.25">
      <c r="A2" s="9" t="s">
        <v>101</v>
      </c>
    </row>
    <row r="4" spans="1:10" x14ac:dyDescent="0.25">
      <c r="B4" s="26" t="s">
        <v>218</v>
      </c>
      <c r="C4" s="26"/>
      <c r="D4" s="26"/>
      <c r="E4" s="26"/>
      <c r="F4" s="26"/>
      <c r="G4" s="26"/>
      <c r="H4" s="26"/>
      <c r="I4" s="26"/>
      <c r="J4" s="26"/>
    </row>
    <row r="6" spans="1:10" x14ac:dyDescent="0.25">
      <c r="A6" s="9" t="s">
        <v>115</v>
      </c>
    </row>
    <row r="8" spans="1:10" x14ac:dyDescent="0.25">
      <c r="B8" s="26" t="s">
        <v>219</v>
      </c>
      <c r="C8" s="26"/>
      <c r="D8" s="26"/>
      <c r="E8" s="26"/>
      <c r="F8" s="26"/>
      <c r="G8" s="26"/>
      <c r="H8" s="26"/>
      <c r="I8" s="26"/>
      <c r="J8" s="26"/>
    </row>
    <row r="10" spans="1:10" x14ac:dyDescent="0.25">
      <c r="A10" s="9" t="s">
        <v>195</v>
      </c>
    </row>
    <row r="11" spans="1:10" x14ac:dyDescent="0.25">
      <c r="A11" s="9"/>
    </row>
    <row r="12" spans="1:10" x14ac:dyDescent="0.25">
      <c r="B12" s="26" t="s">
        <v>220</v>
      </c>
      <c r="C12" s="26"/>
      <c r="D12" s="26"/>
      <c r="E12" s="26"/>
      <c r="F12" s="26"/>
      <c r="G12" s="26"/>
      <c r="H12" s="26"/>
      <c r="I12" s="26"/>
      <c r="J12" s="26"/>
    </row>
    <row r="14" spans="1:10" x14ac:dyDescent="0.25">
      <c r="A14" s="9" t="s">
        <v>116</v>
      </c>
    </row>
    <row r="16" spans="1:10" x14ac:dyDescent="0.25">
      <c r="B16" s="26" t="s">
        <v>221</v>
      </c>
      <c r="C16" s="26"/>
      <c r="D16" s="26"/>
      <c r="E16" s="26"/>
      <c r="F16" s="26"/>
      <c r="G16" s="26"/>
      <c r="H16" s="26"/>
      <c r="I16" s="26"/>
      <c r="J16" s="26"/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zoomScale="150" zoomScaleNormal="150" workbookViewId="0">
      <selection activeCell="H5" sqref="H5"/>
    </sheetView>
  </sheetViews>
  <sheetFormatPr defaultRowHeight="15" x14ac:dyDescent="0.25"/>
  <cols>
    <col min="6" max="6" width="12.7109375" customWidth="1"/>
    <col min="8" max="8" width="12.7109375" customWidth="1"/>
  </cols>
  <sheetData>
    <row r="1" spans="1:8" x14ac:dyDescent="0.25">
      <c r="A1" s="9" t="s">
        <v>144</v>
      </c>
    </row>
    <row r="3" spans="1:8" x14ac:dyDescent="0.25">
      <c r="F3" s="46">
        <v>45658</v>
      </c>
      <c r="H3" s="46">
        <v>46022</v>
      </c>
    </row>
    <row r="5" spans="1:8" x14ac:dyDescent="0.25">
      <c r="B5" t="s">
        <v>145</v>
      </c>
      <c r="F5" s="25">
        <v>523478</v>
      </c>
      <c r="H5" s="25">
        <v>516280</v>
      </c>
    </row>
    <row r="6" spans="1:8" x14ac:dyDescent="0.25">
      <c r="B6" t="s">
        <v>146</v>
      </c>
      <c r="F6" s="25">
        <v>0</v>
      </c>
      <c r="H6" s="25">
        <v>0</v>
      </c>
    </row>
    <row r="7" spans="1:8" x14ac:dyDescent="0.25">
      <c r="B7" t="s">
        <v>147</v>
      </c>
      <c r="F7" s="25">
        <v>0</v>
      </c>
      <c r="H7" s="25">
        <v>0</v>
      </c>
    </row>
    <row r="8" spans="1:8" x14ac:dyDescent="0.25">
      <c r="B8" t="s">
        <v>148</v>
      </c>
      <c r="F8" s="25">
        <v>29000</v>
      </c>
      <c r="H8" s="25">
        <v>29000</v>
      </c>
    </row>
    <row r="9" spans="1:8" x14ac:dyDescent="0.25">
      <c r="B9" t="s">
        <v>149</v>
      </c>
      <c r="F9" s="25">
        <v>40000</v>
      </c>
      <c r="H9" s="25">
        <v>40000</v>
      </c>
    </row>
    <row r="10" spans="1:8" x14ac:dyDescent="0.25">
      <c r="B10" t="s">
        <v>150</v>
      </c>
      <c r="F10" s="6">
        <f>'Crop Income'!$L$18</f>
        <v>180070</v>
      </c>
      <c r="H10" s="6">
        <f>'Crop Income'!$L$43</f>
        <v>187543.75</v>
      </c>
    </row>
    <row r="11" spans="1:8" x14ac:dyDescent="0.25">
      <c r="F11" s="6"/>
      <c r="H11" s="6"/>
    </row>
    <row r="12" spans="1:8" x14ac:dyDescent="0.25">
      <c r="B12" t="s">
        <v>151</v>
      </c>
      <c r="F12" s="6">
        <f>SUM(F5:F10)</f>
        <v>772548</v>
      </c>
      <c r="H12" s="6">
        <f>SUM(H5:H10)</f>
        <v>772823.75</v>
      </c>
    </row>
    <row r="14" spans="1:8" x14ac:dyDescent="0.25">
      <c r="A14" s="9" t="s">
        <v>152</v>
      </c>
    </row>
    <row r="16" spans="1:8" x14ac:dyDescent="0.25">
      <c r="B16" t="s">
        <v>153</v>
      </c>
      <c r="F16" s="25">
        <v>0</v>
      </c>
      <c r="H16" s="25">
        <v>0</v>
      </c>
    </row>
    <row r="17" spans="1:8" x14ac:dyDescent="0.25">
      <c r="B17" t="s">
        <v>154</v>
      </c>
      <c r="F17" s="25">
        <v>0</v>
      </c>
      <c r="H17" s="25">
        <v>0</v>
      </c>
    </row>
    <row r="18" spans="1:8" x14ac:dyDescent="0.25">
      <c r="B18" t="s">
        <v>155</v>
      </c>
      <c r="F18" s="25">
        <v>0</v>
      </c>
      <c r="H18" s="25">
        <v>0</v>
      </c>
    </row>
    <row r="19" spans="1:8" x14ac:dyDescent="0.25">
      <c r="B19" t="s">
        <v>156</v>
      </c>
      <c r="F19" s="25">
        <v>0</v>
      </c>
      <c r="H19" s="25">
        <v>0</v>
      </c>
    </row>
    <row r="20" spans="1:8" x14ac:dyDescent="0.25">
      <c r="B20" t="s">
        <v>157</v>
      </c>
      <c r="F20" s="25">
        <v>0</v>
      </c>
      <c r="H20" s="25">
        <v>0</v>
      </c>
    </row>
    <row r="21" spans="1:8" x14ac:dyDescent="0.25">
      <c r="B21" t="s">
        <v>158</v>
      </c>
      <c r="F21" s="25">
        <v>20807</v>
      </c>
      <c r="H21" s="25">
        <v>20000</v>
      </c>
    </row>
    <row r="22" spans="1:8" x14ac:dyDescent="0.25">
      <c r="B22" t="s">
        <v>194</v>
      </c>
      <c r="F22" s="25">
        <v>4594</v>
      </c>
      <c r="H22" s="25">
        <v>5000</v>
      </c>
    </row>
    <row r="24" spans="1:8" x14ac:dyDescent="0.25">
      <c r="B24" t="s">
        <v>159</v>
      </c>
      <c r="F24" s="6">
        <f>SUM(F16:F22)</f>
        <v>25401</v>
      </c>
      <c r="H24" s="6">
        <f>SUM(H16:H22)</f>
        <v>25000</v>
      </c>
    </row>
    <row r="26" spans="1:8" x14ac:dyDescent="0.25">
      <c r="A26" s="36" t="s">
        <v>166</v>
      </c>
    </row>
    <row r="28" spans="1:8" x14ac:dyDescent="0.25">
      <c r="B28" s="37" t="s">
        <v>161</v>
      </c>
    </row>
    <row r="29" spans="1:8" x14ac:dyDescent="0.25">
      <c r="B29" t="s">
        <v>165</v>
      </c>
      <c r="G29" s="25">
        <v>0</v>
      </c>
    </row>
    <row r="30" spans="1:8" x14ac:dyDescent="0.25">
      <c r="B30" t="s">
        <v>167</v>
      </c>
      <c r="G30" s="25">
        <v>0</v>
      </c>
    </row>
    <row r="31" spans="1:8" x14ac:dyDescent="0.25">
      <c r="B31" t="s">
        <v>168</v>
      </c>
      <c r="G31" s="25">
        <v>0</v>
      </c>
    </row>
    <row r="33" spans="2:7" x14ac:dyDescent="0.25">
      <c r="B33" s="37" t="s">
        <v>162</v>
      </c>
    </row>
    <row r="34" spans="2:7" x14ac:dyDescent="0.25">
      <c r="B34" t="s">
        <v>160</v>
      </c>
      <c r="G34" s="25">
        <v>20807</v>
      </c>
    </row>
    <row r="35" spans="2:7" x14ac:dyDescent="0.25">
      <c r="B35" t="s">
        <v>169</v>
      </c>
      <c r="G35" s="25">
        <v>0</v>
      </c>
    </row>
    <row r="36" spans="2:7" x14ac:dyDescent="0.25">
      <c r="B36" t="s">
        <v>138</v>
      </c>
      <c r="G36" s="25">
        <v>0</v>
      </c>
    </row>
    <row r="37" spans="2:7" x14ac:dyDescent="0.25">
      <c r="B37" t="s">
        <v>208</v>
      </c>
      <c r="G37" s="25">
        <v>0</v>
      </c>
    </row>
  </sheetData>
  <sheetProtection sheet="1" objects="1" scenarios="1"/>
  <printOptions headings="1" gridLine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"/>
  <sheetViews>
    <sheetView zoomScale="150" zoomScaleNormal="150" workbookViewId="0"/>
  </sheetViews>
  <sheetFormatPr defaultRowHeight="15" x14ac:dyDescent="0.25"/>
  <sheetData>
    <row r="1" spans="1:5" x14ac:dyDescent="0.25">
      <c r="A1" s="9" t="s">
        <v>85</v>
      </c>
    </row>
    <row r="3" spans="1:5" x14ac:dyDescent="0.25">
      <c r="B3" t="s">
        <v>83</v>
      </c>
      <c r="E3" s="25">
        <v>250</v>
      </c>
    </row>
    <row r="4" spans="1:5" x14ac:dyDescent="0.25">
      <c r="B4" t="s">
        <v>84</v>
      </c>
      <c r="E4" s="25">
        <v>250</v>
      </c>
    </row>
    <row r="5" spans="1:5" x14ac:dyDescent="0.25">
      <c r="B5" t="s">
        <v>210</v>
      </c>
      <c r="E5" s="25">
        <v>250</v>
      </c>
    </row>
    <row r="6" spans="1:5" x14ac:dyDescent="0.25">
      <c r="B6" t="s">
        <v>211</v>
      </c>
      <c r="E6" s="25">
        <v>250</v>
      </c>
    </row>
    <row r="7" spans="1:5" x14ac:dyDescent="0.25">
      <c r="B7" t="s">
        <v>214</v>
      </c>
      <c r="E7" s="25">
        <v>40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78"/>
  <sheetViews>
    <sheetView topLeftCell="A33" zoomScale="150" zoomScaleNormal="150" workbookViewId="0">
      <selection activeCell="H41" sqref="H41"/>
    </sheetView>
  </sheetViews>
  <sheetFormatPr defaultRowHeight="15" x14ac:dyDescent="0.25"/>
  <cols>
    <col min="6" max="12" width="10.7109375" customWidth="1"/>
  </cols>
  <sheetData>
    <row r="1" spans="1:12" x14ac:dyDescent="0.25">
      <c r="A1" s="9" t="s">
        <v>82</v>
      </c>
    </row>
    <row r="3" spans="1:12" x14ac:dyDescent="0.25">
      <c r="B3" t="s">
        <v>83</v>
      </c>
      <c r="E3" s="6">
        <f>'Crop Acres'!$E$3</f>
        <v>250</v>
      </c>
      <c r="F3" s="6"/>
    </row>
    <row r="4" spans="1:12" x14ac:dyDescent="0.25">
      <c r="B4" t="s">
        <v>84</v>
      </c>
      <c r="E4" s="6">
        <f>'Crop Acres'!$E$4</f>
        <v>250</v>
      </c>
      <c r="F4" s="6"/>
    </row>
    <row r="5" spans="1:12" x14ac:dyDescent="0.25">
      <c r="B5" t="s">
        <v>210</v>
      </c>
      <c r="E5" s="6">
        <f>'Crop Acres'!$E$5</f>
        <v>250</v>
      </c>
      <c r="F5" s="6"/>
    </row>
    <row r="6" spans="1:12" x14ac:dyDescent="0.25">
      <c r="B6" t="s">
        <v>211</v>
      </c>
      <c r="E6" s="6">
        <f>'Crop Acres'!$E$6</f>
        <v>250</v>
      </c>
      <c r="F6" s="6"/>
    </row>
    <row r="7" spans="1:12" x14ac:dyDescent="0.25">
      <c r="B7" t="s">
        <v>214</v>
      </c>
      <c r="E7" s="6">
        <f>'Crop Acres'!$E$7</f>
        <v>40</v>
      </c>
      <c r="F7" s="6"/>
    </row>
    <row r="8" spans="1:12" x14ac:dyDescent="0.25">
      <c r="E8" s="6"/>
      <c r="F8" s="6"/>
    </row>
    <row r="9" spans="1:12" x14ac:dyDescent="0.25">
      <c r="A9" s="9" t="s">
        <v>222</v>
      </c>
    </row>
    <row r="11" spans="1:12" x14ac:dyDescent="0.25">
      <c r="I11" s="8"/>
      <c r="J11" s="8"/>
      <c r="K11" s="8"/>
      <c r="L11" s="8" t="s">
        <v>88</v>
      </c>
    </row>
    <row r="12" spans="1:12" x14ac:dyDescent="0.25">
      <c r="G12" s="8" t="s">
        <v>83</v>
      </c>
      <c r="H12" s="8" t="s">
        <v>84</v>
      </c>
      <c r="I12" s="8" t="s">
        <v>210</v>
      </c>
      <c r="J12" s="8" t="s">
        <v>212</v>
      </c>
      <c r="K12" s="8" t="s">
        <v>214</v>
      </c>
      <c r="L12" s="8" t="s">
        <v>87</v>
      </c>
    </row>
    <row r="14" spans="1:12" x14ac:dyDescent="0.25">
      <c r="B14" t="s">
        <v>215</v>
      </c>
      <c r="G14" s="25">
        <f>200*250*0.5</f>
        <v>25000</v>
      </c>
      <c r="H14" s="25">
        <v>7500</v>
      </c>
      <c r="I14" s="25">
        <v>0</v>
      </c>
      <c r="J14" s="25">
        <v>0</v>
      </c>
      <c r="K14" s="25">
        <v>49</v>
      </c>
    </row>
    <row r="16" spans="1:12" x14ac:dyDescent="0.25">
      <c r="B16" t="s">
        <v>216</v>
      </c>
      <c r="G16" s="27">
        <v>4</v>
      </c>
      <c r="H16" s="27">
        <v>9.5</v>
      </c>
      <c r="I16" s="27">
        <v>5.25</v>
      </c>
      <c r="J16" s="27">
        <v>9.5</v>
      </c>
      <c r="K16" s="27">
        <v>180</v>
      </c>
    </row>
    <row r="18" spans="1:12" x14ac:dyDescent="0.25">
      <c r="B18" t="s">
        <v>192</v>
      </c>
      <c r="G18" s="47">
        <f>G14*G16</f>
        <v>100000</v>
      </c>
      <c r="H18" s="47">
        <f t="shared" ref="H18:K18" si="0">H14*H16</f>
        <v>71250</v>
      </c>
      <c r="I18" s="47">
        <f t="shared" si="0"/>
        <v>0</v>
      </c>
      <c r="J18" s="47">
        <f t="shared" si="0"/>
        <v>0</v>
      </c>
      <c r="K18" s="47">
        <f t="shared" si="0"/>
        <v>8820</v>
      </c>
      <c r="L18" s="47">
        <f>SUM(G18:K18)</f>
        <v>180070</v>
      </c>
    </row>
    <row r="20" spans="1:12" x14ac:dyDescent="0.25">
      <c r="A20" s="9" t="s">
        <v>223</v>
      </c>
    </row>
    <row r="22" spans="1:12" x14ac:dyDescent="0.25">
      <c r="B22" t="s">
        <v>95</v>
      </c>
      <c r="G22" s="6">
        <f>G14</f>
        <v>25000</v>
      </c>
      <c r="H22" s="6">
        <f>H14</f>
        <v>7500</v>
      </c>
      <c r="I22" s="6">
        <f>I14</f>
        <v>0</v>
      </c>
      <c r="J22" s="6">
        <f>J14</f>
        <v>0</v>
      </c>
      <c r="K22" s="6">
        <f>K14</f>
        <v>49</v>
      </c>
      <c r="L22" s="6"/>
    </row>
    <row r="23" spans="1:12" x14ac:dyDescent="0.25">
      <c r="G23" s="6"/>
      <c r="H23" s="6"/>
      <c r="I23" s="6"/>
      <c r="J23" s="6"/>
      <c r="K23" s="6"/>
      <c r="L23" s="6"/>
    </row>
    <row r="24" spans="1:12" x14ac:dyDescent="0.25">
      <c r="B24" t="s">
        <v>103</v>
      </c>
      <c r="G24" s="27">
        <v>4.75</v>
      </c>
      <c r="H24" s="27">
        <v>10.25</v>
      </c>
      <c r="I24" s="27">
        <v>5.5</v>
      </c>
      <c r="J24" s="27">
        <v>10.25</v>
      </c>
      <c r="K24" s="27">
        <v>175</v>
      </c>
      <c r="L24" s="6"/>
    </row>
    <row r="26" spans="1:12" x14ac:dyDescent="0.25">
      <c r="B26" t="s">
        <v>97</v>
      </c>
      <c r="G26" s="29">
        <v>195</v>
      </c>
      <c r="H26" s="29">
        <v>60</v>
      </c>
      <c r="I26" s="29">
        <v>84</v>
      </c>
      <c r="J26" s="29">
        <v>42</v>
      </c>
      <c r="K26" s="27">
        <v>3</v>
      </c>
    </row>
    <row r="28" spans="1:12" x14ac:dyDescent="0.25">
      <c r="B28" t="s">
        <v>98</v>
      </c>
      <c r="G28" s="27">
        <v>4.25</v>
      </c>
      <c r="H28" s="27">
        <v>10.050000000000001</v>
      </c>
      <c r="I28" s="27">
        <v>5.75</v>
      </c>
      <c r="J28" s="27">
        <v>10.050000000000001</v>
      </c>
      <c r="K28" s="27">
        <v>175</v>
      </c>
    </row>
    <row r="30" spans="1:12" x14ac:dyDescent="0.25">
      <c r="B30" t="s">
        <v>102</v>
      </c>
      <c r="G30" s="28">
        <v>0.5</v>
      </c>
      <c r="H30" s="28">
        <v>0.5</v>
      </c>
      <c r="I30" s="28">
        <v>1</v>
      </c>
      <c r="J30" s="28">
        <v>1</v>
      </c>
      <c r="K30" s="28">
        <v>0</v>
      </c>
    </row>
    <row r="32" spans="1:12" x14ac:dyDescent="0.25">
      <c r="B32" t="s">
        <v>94</v>
      </c>
      <c r="G32" s="47">
        <f>(G22*G24)+(G26*$E$3*G28*G30)</f>
        <v>222343.75</v>
      </c>
      <c r="H32" s="47">
        <f t="shared" ref="H32:K32" si="1">(H22*H24)+(H26*$E$3*H28*H30)</f>
        <v>152250</v>
      </c>
      <c r="I32" s="47">
        <f t="shared" si="1"/>
        <v>120750</v>
      </c>
      <c r="J32" s="47">
        <f t="shared" si="1"/>
        <v>105525.00000000001</v>
      </c>
      <c r="K32" s="47">
        <f t="shared" si="1"/>
        <v>8575</v>
      </c>
      <c r="L32" s="47">
        <f>SUM(G32:J32)</f>
        <v>600868.75</v>
      </c>
    </row>
    <row r="34" spans="1:12" x14ac:dyDescent="0.25">
      <c r="A34" s="9" t="s">
        <v>224</v>
      </c>
    </row>
    <row r="36" spans="1:12" x14ac:dyDescent="0.25">
      <c r="I36" s="8"/>
      <c r="J36" s="8"/>
      <c r="K36" s="8"/>
      <c r="L36" s="8" t="s">
        <v>88</v>
      </c>
    </row>
    <row r="37" spans="1:12" x14ac:dyDescent="0.25">
      <c r="G37" s="8" t="s">
        <v>83</v>
      </c>
      <c r="H37" s="8" t="s">
        <v>84</v>
      </c>
      <c r="I37" s="8" t="s">
        <v>210</v>
      </c>
      <c r="J37" s="8" t="s">
        <v>212</v>
      </c>
      <c r="K37" s="8" t="s">
        <v>214</v>
      </c>
      <c r="L37" s="8" t="s">
        <v>87</v>
      </c>
    </row>
    <row r="39" spans="1:12" x14ac:dyDescent="0.25">
      <c r="B39" t="s">
        <v>215</v>
      </c>
      <c r="G39" s="24">
        <f>(G26*$E$3*(1-$G$30))</f>
        <v>24375</v>
      </c>
      <c r="H39" s="24">
        <f>(H26*$E$4*(1-$H$30))</f>
        <v>7500</v>
      </c>
      <c r="I39" s="24">
        <f>(I26*$E$5*(1-$I$30))</f>
        <v>0</v>
      </c>
      <c r="J39" s="24">
        <f>(J26*$E$5*(1-$I$30))</f>
        <v>0</v>
      </c>
      <c r="K39" s="24">
        <v>49</v>
      </c>
    </row>
    <row r="41" spans="1:12" x14ac:dyDescent="0.25">
      <c r="B41" t="s">
        <v>216</v>
      </c>
      <c r="G41" s="27">
        <v>4.25</v>
      </c>
      <c r="H41" s="27">
        <v>10.050000000000001</v>
      </c>
      <c r="I41" s="27">
        <v>5.75</v>
      </c>
      <c r="J41" s="27">
        <v>10.25</v>
      </c>
      <c r="K41" s="27">
        <v>175</v>
      </c>
    </row>
    <row r="43" spans="1:12" x14ac:dyDescent="0.25">
      <c r="B43" t="s">
        <v>192</v>
      </c>
      <c r="G43" s="47">
        <f>G39*G41</f>
        <v>103593.75</v>
      </c>
      <c r="H43" s="47">
        <f t="shared" ref="H43:K43" si="2">H39*H41</f>
        <v>75375</v>
      </c>
      <c r="I43" s="47">
        <f t="shared" si="2"/>
        <v>0</v>
      </c>
      <c r="J43" s="47">
        <f t="shared" si="2"/>
        <v>0</v>
      </c>
      <c r="K43" s="47">
        <f t="shared" si="2"/>
        <v>8575</v>
      </c>
      <c r="L43" s="47">
        <f>SUM(G43:K43)</f>
        <v>187543.75</v>
      </c>
    </row>
    <row r="52" spans="1:14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</row>
    <row r="53" spans="1:14" x14ac:dyDescent="0.25">
      <c r="A53" s="14"/>
      <c r="B53" s="14"/>
      <c r="C53" s="14"/>
      <c r="D53" s="14"/>
      <c r="E53" s="54"/>
      <c r="F53" s="54"/>
      <c r="G53" s="54"/>
      <c r="H53" s="54"/>
      <c r="I53" s="14"/>
      <c r="J53" s="14"/>
      <c r="K53" s="14"/>
      <c r="L53" s="14"/>
      <c r="M53" s="14"/>
      <c r="N53" s="14"/>
    </row>
    <row r="54" spans="1:14" x14ac:dyDescent="0.25">
      <c r="A54" s="14"/>
      <c r="B54" s="14"/>
      <c r="C54" s="14"/>
      <c r="D54" s="14"/>
      <c r="E54" s="14"/>
      <c r="F54" s="14"/>
      <c r="G54" s="14"/>
      <c r="H54" s="15"/>
      <c r="I54" s="15"/>
      <c r="J54" s="15"/>
      <c r="K54" s="15"/>
      <c r="L54" s="15"/>
      <c r="M54" s="15"/>
      <c r="N54" s="14"/>
    </row>
    <row r="55" spans="1:14" x14ac:dyDescent="0.25">
      <c r="A55" s="16"/>
      <c r="B55" s="14"/>
      <c r="C55" s="14"/>
      <c r="D55" s="14"/>
      <c r="E55" s="17"/>
      <c r="F55" s="17"/>
      <c r="G55" s="15"/>
      <c r="H55" s="18"/>
      <c r="I55" s="18"/>
      <c r="J55" s="18"/>
      <c r="K55" s="18"/>
      <c r="L55" s="15"/>
      <c r="M55" s="15"/>
      <c r="N55" s="14"/>
    </row>
    <row r="56" spans="1:14" x14ac:dyDescent="0.25">
      <c r="A56" s="14"/>
      <c r="B56" s="14"/>
      <c r="C56" s="14"/>
      <c r="D56" s="14"/>
      <c r="E56" s="19"/>
      <c r="F56" s="19"/>
      <c r="G56" s="14"/>
      <c r="H56" s="20"/>
      <c r="I56" s="20"/>
      <c r="J56" s="20"/>
      <c r="K56" s="20"/>
      <c r="L56" s="14"/>
      <c r="M56" s="14"/>
      <c r="N56" s="14"/>
    </row>
    <row r="57" spans="1:14" x14ac:dyDescent="0.25">
      <c r="A57" s="14"/>
      <c r="B57" s="14"/>
      <c r="C57" s="14"/>
      <c r="D57" s="14"/>
      <c r="E57" s="21"/>
      <c r="F57" s="21"/>
      <c r="G57" s="22"/>
      <c r="H57" s="22"/>
      <c r="I57" s="20"/>
      <c r="J57" s="20"/>
      <c r="K57" s="20"/>
      <c r="L57" s="20"/>
      <c r="M57" s="20"/>
      <c r="N57" s="14"/>
    </row>
    <row r="58" spans="1:14" x14ac:dyDescent="0.25">
      <c r="A58" s="14"/>
      <c r="B58" s="14"/>
      <c r="C58" s="14"/>
      <c r="D58" s="14"/>
      <c r="E58" s="21"/>
      <c r="F58" s="21"/>
      <c r="G58" s="22"/>
      <c r="H58" s="22"/>
      <c r="I58" s="20"/>
      <c r="J58" s="20"/>
      <c r="K58" s="20"/>
      <c r="L58" s="20"/>
      <c r="M58" s="20"/>
      <c r="N58" s="14"/>
    </row>
    <row r="59" spans="1:14" x14ac:dyDescent="0.25">
      <c r="A59" s="14"/>
      <c r="B59" s="14"/>
      <c r="C59" s="14"/>
      <c r="D59" s="14"/>
      <c r="E59" s="21"/>
      <c r="F59" s="21"/>
      <c r="G59" s="22"/>
      <c r="H59" s="22"/>
      <c r="I59" s="20"/>
      <c r="J59" s="20"/>
      <c r="K59" s="20"/>
      <c r="L59" s="20"/>
      <c r="M59" s="20"/>
      <c r="N59" s="14"/>
    </row>
    <row r="60" spans="1:14" x14ac:dyDescent="0.25">
      <c r="A60" s="14"/>
      <c r="B60" s="14"/>
      <c r="C60" s="14"/>
      <c r="D60" s="14"/>
      <c r="E60" s="21"/>
      <c r="F60" s="21"/>
      <c r="G60" s="22"/>
      <c r="H60" s="22"/>
      <c r="I60" s="20"/>
      <c r="J60" s="20"/>
      <c r="K60" s="20"/>
      <c r="L60" s="20"/>
      <c r="M60" s="20"/>
      <c r="N60" s="14"/>
    </row>
    <row r="61" spans="1:14" x14ac:dyDescent="0.25">
      <c r="A61" s="14"/>
      <c r="B61" s="14"/>
      <c r="C61" s="14"/>
      <c r="D61" s="14"/>
      <c r="E61" s="21"/>
      <c r="F61" s="21"/>
      <c r="G61" s="22"/>
      <c r="H61" s="22"/>
      <c r="I61" s="20"/>
      <c r="J61" s="20"/>
      <c r="K61" s="20"/>
      <c r="L61" s="20"/>
      <c r="M61" s="20"/>
      <c r="N61" s="14"/>
    </row>
    <row r="62" spans="1:14" x14ac:dyDescent="0.25">
      <c r="A62" s="14"/>
      <c r="B62" s="14"/>
      <c r="C62" s="14"/>
      <c r="D62" s="14"/>
      <c r="E62" s="21"/>
      <c r="F62" s="21"/>
      <c r="G62" s="22"/>
      <c r="H62" s="22"/>
      <c r="I62" s="20"/>
      <c r="J62" s="20"/>
      <c r="K62" s="20"/>
      <c r="L62" s="20"/>
      <c r="M62" s="20"/>
      <c r="N62" s="14"/>
    </row>
    <row r="63" spans="1:14" x14ac:dyDescent="0.25">
      <c r="A63" s="14"/>
      <c r="B63" s="14"/>
      <c r="C63" s="14"/>
      <c r="D63" s="14"/>
      <c r="E63" s="21"/>
      <c r="F63" s="21"/>
      <c r="G63" s="22"/>
      <c r="H63" s="22"/>
      <c r="I63" s="20"/>
      <c r="J63" s="20"/>
      <c r="K63" s="20"/>
      <c r="L63" s="20"/>
      <c r="M63" s="20"/>
      <c r="N63" s="14"/>
    </row>
    <row r="64" spans="1:14" x14ac:dyDescent="0.25">
      <c r="A64" s="14"/>
      <c r="B64" s="14"/>
      <c r="C64" s="14"/>
      <c r="D64" s="14"/>
      <c r="E64" s="21"/>
      <c r="F64" s="21"/>
      <c r="G64" s="22"/>
      <c r="H64" s="22"/>
      <c r="I64" s="20"/>
      <c r="J64" s="20"/>
      <c r="K64" s="20"/>
      <c r="L64" s="20"/>
      <c r="M64" s="20"/>
      <c r="N64" s="14"/>
    </row>
    <row r="65" spans="1:14" x14ac:dyDescent="0.25">
      <c r="A65" s="14"/>
      <c r="B65" s="14"/>
      <c r="C65" s="14"/>
      <c r="D65" s="14"/>
      <c r="E65" s="21"/>
      <c r="F65" s="21"/>
      <c r="G65" s="22"/>
      <c r="H65" s="22"/>
      <c r="I65" s="20"/>
      <c r="J65" s="20"/>
      <c r="K65" s="20"/>
      <c r="L65" s="20"/>
      <c r="M65" s="20"/>
      <c r="N65" s="14"/>
    </row>
    <row r="66" spans="1:14" x14ac:dyDescent="0.25">
      <c r="A66" s="14"/>
      <c r="B66" s="14"/>
      <c r="C66" s="14"/>
      <c r="D66" s="14"/>
      <c r="E66" s="21"/>
      <c r="F66" s="21"/>
      <c r="G66" s="22"/>
      <c r="H66" s="22"/>
      <c r="I66" s="20"/>
      <c r="J66" s="20"/>
      <c r="K66" s="20"/>
      <c r="L66" s="20"/>
      <c r="M66" s="20"/>
      <c r="N66" s="14"/>
    </row>
    <row r="67" spans="1:14" x14ac:dyDescent="0.25">
      <c r="A67" s="14"/>
      <c r="B67" s="14"/>
      <c r="C67" s="14"/>
      <c r="D67" s="14"/>
      <c r="E67" s="21"/>
      <c r="F67" s="21"/>
      <c r="G67" s="21"/>
      <c r="H67" s="22"/>
      <c r="I67" s="20"/>
      <c r="J67" s="20"/>
      <c r="K67" s="20"/>
      <c r="L67" s="20"/>
      <c r="M67" s="20"/>
      <c r="N67" s="14"/>
    </row>
    <row r="68" spans="1:14" x14ac:dyDescent="0.25">
      <c r="A68" s="14"/>
      <c r="B68" s="14"/>
      <c r="C68" s="14"/>
      <c r="D68" s="14"/>
      <c r="E68" s="21"/>
      <c r="F68" s="21"/>
      <c r="G68" s="22"/>
      <c r="H68" s="22"/>
      <c r="I68" s="20"/>
      <c r="J68" s="20"/>
      <c r="K68" s="20"/>
      <c r="L68" s="20"/>
      <c r="M68" s="20"/>
      <c r="N68" s="14"/>
    </row>
    <row r="69" spans="1:14" x14ac:dyDescent="0.25">
      <c r="A69" s="14"/>
      <c r="B69" s="14"/>
      <c r="C69" s="14"/>
      <c r="D69" s="14"/>
      <c r="E69" s="21"/>
      <c r="F69" s="21"/>
      <c r="G69" s="21"/>
      <c r="H69" s="22"/>
      <c r="I69" s="20"/>
      <c r="J69" s="20"/>
      <c r="K69" s="20"/>
      <c r="L69" s="20"/>
      <c r="M69" s="20"/>
      <c r="N69" s="14"/>
    </row>
    <row r="70" spans="1:14" x14ac:dyDescent="0.25">
      <c r="A70" s="14"/>
      <c r="B70" s="14"/>
      <c r="C70" s="14"/>
      <c r="D70" s="14"/>
      <c r="E70" s="17"/>
      <c r="F70" s="17"/>
      <c r="G70" s="14"/>
      <c r="H70" s="20"/>
      <c r="I70" s="20"/>
      <c r="J70" s="20"/>
      <c r="K70" s="20"/>
      <c r="L70" s="14"/>
      <c r="M70" s="14"/>
      <c r="N70" s="14"/>
    </row>
    <row r="71" spans="1:14" x14ac:dyDescent="0.25">
      <c r="A71" s="14"/>
      <c r="B71" s="14"/>
      <c r="C71" s="14"/>
      <c r="D71" s="14"/>
      <c r="E71" s="23"/>
      <c r="F71" s="23"/>
      <c r="G71" s="23"/>
      <c r="H71" s="23"/>
      <c r="I71" s="20"/>
      <c r="J71" s="20"/>
      <c r="K71" s="20"/>
      <c r="L71" s="20"/>
      <c r="M71" s="20"/>
      <c r="N71" s="14"/>
    </row>
    <row r="72" spans="1:14" x14ac:dyDescent="0.25">
      <c r="A72" s="14"/>
      <c r="B72" s="14"/>
      <c r="C72" s="14"/>
      <c r="D72" s="14"/>
      <c r="E72" s="17"/>
      <c r="F72" s="17"/>
      <c r="G72" s="14"/>
      <c r="H72" s="20"/>
      <c r="I72" s="20"/>
      <c r="J72" s="20"/>
      <c r="K72" s="20"/>
      <c r="L72" s="14"/>
      <c r="M72" s="14"/>
      <c r="N72" s="14"/>
    </row>
    <row r="73" spans="1:14" x14ac:dyDescent="0.25">
      <c r="A73" s="14"/>
      <c r="B73" s="14"/>
      <c r="C73" s="14"/>
      <c r="D73" s="14"/>
      <c r="E73" s="21"/>
      <c r="F73" s="21"/>
      <c r="G73" s="22"/>
      <c r="H73" s="22"/>
      <c r="I73" s="20"/>
      <c r="J73" s="20"/>
      <c r="K73" s="20"/>
      <c r="L73" s="20"/>
      <c r="M73" s="20"/>
      <c r="N73" s="22"/>
    </row>
    <row r="74" spans="1:14" x14ac:dyDescent="0.25">
      <c r="A74" s="14"/>
      <c r="B74" s="14"/>
      <c r="C74" s="14"/>
      <c r="D74" s="14"/>
      <c r="E74" s="21"/>
      <c r="F74" s="21"/>
      <c r="G74" s="22"/>
      <c r="H74" s="22"/>
      <c r="I74" s="22"/>
      <c r="J74" s="22"/>
      <c r="K74" s="22"/>
      <c r="L74" s="22"/>
      <c r="M74" s="22"/>
      <c r="N74" s="22"/>
    </row>
    <row r="75" spans="1:14" x14ac:dyDescent="0.25">
      <c r="A75" s="14"/>
      <c r="B75" s="14"/>
      <c r="C75" s="14"/>
      <c r="D75" s="14"/>
      <c r="E75" s="21"/>
      <c r="F75" s="21"/>
      <c r="G75" s="21"/>
      <c r="H75" s="21"/>
      <c r="I75" s="20"/>
      <c r="J75" s="20"/>
      <c r="K75" s="20"/>
      <c r="L75" s="20"/>
      <c r="M75" s="20"/>
      <c r="N75" s="22"/>
    </row>
    <row r="76" spans="1:14" x14ac:dyDescent="0.25">
      <c r="A76" s="14"/>
      <c r="B76" s="14"/>
      <c r="C76" s="14"/>
      <c r="D76" s="14"/>
      <c r="E76" s="21"/>
      <c r="F76" s="21"/>
      <c r="G76" s="22"/>
      <c r="H76" s="22"/>
      <c r="I76" s="22"/>
      <c r="J76" s="22"/>
      <c r="K76" s="22"/>
      <c r="L76" s="22"/>
      <c r="M76" s="22"/>
      <c r="N76" s="22"/>
    </row>
    <row r="77" spans="1:14" x14ac:dyDescent="0.25">
      <c r="A77" s="14"/>
      <c r="B77" s="14"/>
      <c r="C77" s="14"/>
      <c r="D77" s="14"/>
      <c r="E77" s="22"/>
      <c r="F77" s="22"/>
      <c r="G77" s="22"/>
      <c r="H77" s="21"/>
      <c r="I77" s="20"/>
      <c r="J77" s="20"/>
      <c r="K77" s="20"/>
      <c r="L77" s="20"/>
      <c r="M77" s="20"/>
      <c r="N77" s="22"/>
    </row>
    <row r="78" spans="1:14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</row>
  </sheetData>
  <sheetProtection sheet="1" objects="1" scenarios="1"/>
  <mergeCells count="1">
    <mergeCell ref="E53:H53"/>
  </mergeCells>
  <pageMargins left="0.7" right="0.7" top="0.75" bottom="0.75" header="0.3" footer="0.3"/>
  <pageSetup scale="91" orientation="portrait" r:id="rId1"/>
  <ignoredErrors>
    <ignoredError sqref="G1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7"/>
  <sheetViews>
    <sheetView zoomScale="150" zoomScaleNormal="150" workbookViewId="0"/>
  </sheetViews>
  <sheetFormatPr defaultRowHeight="15" x14ac:dyDescent="0.25"/>
  <sheetData>
    <row r="1" spans="1:8" x14ac:dyDescent="0.25">
      <c r="A1" s="9" t="s">
        <v>96</v>
      </c>
    </row>
    <row r="3" spans="1:8" x14ac:dyDescent="0.25">
      <c r="B3" t="s">
        <v>10</v>
      </c>
      <c r="G3" s="25">
        <v>62500</v>
      </c>
      <c r="H3" s="6"/>
    </row>
    <row r="4" spans="1:8" x14ac:dyDescent="0.25">
      <c r="B4" t="s">
        <v>12</v>
      </c>
      <c r="G4" s="25">
        <v>0</v>
      </c>
      <c r="H4" s="6"/>
    </row>
    <row r="5" spans="1:8" x14ac:dyDescent="0.25">
      <c r="B5" t="s">
        <v>14</v>
      </c>
      <c r="G5" s="25">
        <v>0</v>
      </c>
      <c r="H5" s="6"/>
    </row>
    <row r="6" spans="1:8" x14ac:dyDescent="0.25">
      <c r="G6" s="6"/>
      <c r="H6" s="6"/>
    </row>
    <row r="7" spans="1:8" x14ac:dyDescent="0.25">
      <c r="B7" t="s">
        <v>19</v>
      </c>
      <c r="G7" s="25">
        <v>0</v>
      </c>
      <c r="H7" s="20"/>
    </row>
    <row r="8" spans="1:8" x14ac:dyDescent="0.25">
      <c r="B8" t="s">
        <v>21</v>
      </c>
      <c r="G8" s="25">
        <v>0</v>
      </c>
      <c r="H8" s="20"/>
    </row>
    <row r="9" spans="1:8" x14ac:dyDescent="0.25">
      <c r="B9" t="s">
        <v>23</v>
      </c>
      <c r="G9" s="25">
        <v>0</v>
      </c>
      <c r="H9" s="20"/>
    </row>
    <row r="10" spans="1:8" x14ac:dyDescent="0.25">
      <c r="B10" t="s">
        <v>25</v>
      </c>
      <c r="G10" s="25">
        <v>0</v>
      </c>
      <c r="H10" s="20"/>
    </row>
    <row r="11" spans="1:8" x14ac:dyDescent="0.25">
      <c r="G11" s="6"/>
      <c r="H11" s="20"/>
    </row>
    <row r="12" spans="1:8" x14ac:dyDescent="0.25">
      <c r="B12" t="s">
        <v>30</v>
      </c>
      <c r="G12" s="25">
        <v>0</v>
      </c>
    </row>
    <row r="13" spans="1:8" x14ac:dyDescent="0.25">
      <c r="B13" t="s">
        <v>32</v>
      </c>
      <c r="G13" s="25">
        <v>0</v>
      </c>
    </row>
    <row r="15" spans="1:8" x14ac:dyDescent="0.25">
      <c r="B15" t="s">
        <v>106</v>
      </c>
      <c r="G15" s="6">
        <f>SUM(G3, G7:G10)-SUM(G12:G13)</f>
        <v>62500</v>
      </c>
    </row>
    <row r="17" spans="2:7" x14ac:dyDescent="0.25">
      <c r="B17" t="s">
        <v>107</v>
      </c>
      <c r="G17" s="6">
        <f>SUM(G3, G7:G10)-SUM(G12:G13)+(G4-G5)</f>
        <v>62500</v>
      </c>
    </row>
  </sheetData>
  <sheetProtection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4"/>
  <sheetViews>
    <sheetView zoomScale="150" zoomScaleNormal="150" workbookViewId="0"/>
  </sheetViews>
  <sheetFormatPr defaultRowHeight="15" x14ac:dyDescent="0.25"/>
  <cols>
    <col min="5" max="12" width="10.7109375" customWidth="1"/>
  </cols>
  <sheetData>
    <row r="1" spans="1:12" x14ac:dyDescent="0.25">
      <c r="A1" s="9" t="s">
        <v>82</v>
      </c>
    </row>
    <row r="3" spans="1:12" x14ac:dyDescent="0.25">
      <c r="B3" t="s">
        <v>83</v>
      </c>
      <c r="E3" s="6">
        <f>'Crop Acres'!$E$3</f>
        <v>250</v>
      </c>
    </row>
    <row r="4" spans="1:12" x14ac:dyDescent="0.25">
      <c r="B4" t="s">
        <v>84</v>
      </c>
      <c r="E4" s="6">
        <f>'Crop Acres'!$E$4</f>
        <v>250</v>
      </c>
    </row>
    <row r="5" spans="1:12" x14ac:dyDescent="0.25">
      <c r="B5" t="s">
        <v>210</v>
      </c>
      <c r="E5" s="6">
        <f>'Crop Acres'!$E$5</f>
        <v>250</v>
      </c>
    </row>
    <row r="6" spans="1:12" x14ac:dyDescent="0.25">
      <c r="B6" t="s">
        <v>211</v>
      </c>
      <c r="E6" s="6">
        <f>'Crop Acres'!$E$5</f>
        <v>250</v>
      </c>
    </row>
    <row r="7" spans="1:12" x14ac:dyDescent="0.25">
      <c r="B7" t="s">
        <v>214</v>
      </c>
      <c r="E7" s="6">
        <v>40</v>
      </c>
    </row>
    <row r="9" spans="1:12" x14ac:dyDescent="0.25">
      <c r="E9" s="55" t="s">
        <v>89</v>
      </c>
      <c r="F9" s="55"/>
      <c r="G9" s="55"/>
      <c r="H9" s="55"/>
      <c r="I9" s="55"/>
    </row>
    <row r="10" spans="1:12" x14ac:dyDescent="0.25">
      <c r="G10" s="8"/>
      <c r="H10" s="8"/>
      <c r="I10" s="8"/>
      <c r="J10" s="8" t="s">
        <v>88</v>
      </c>
      <c r="K10" s="8" t="s">
        <v>88</v>
      </c>
      <c r="L10" s="8" t="s">
        <v>90</v>
      </c>
    </row>
    <row r="11" spans="1:12" x14ac:dyDescent="0.25">
      <c r="A11" s="2" t="s">
        <v>37</v>
      </c>
      <c r="E11" s="5" t="s">
        <v>83</v>
      </c>
      <c r="F11" s="8" t="s">
        <v>84</v>
      </c>
      <c r="G11" s="10" t="s">
        <v>210</v>
      </c>
      <c r="H11" s="10" t="s">
        <v>212</v>
      </c>
      <c r="I11" s="10" t="s">
        <v>214</v>
      </c>
      <c r="J11" s="10" t="s">
        <v>87</v>
      </c>
      <c r="K11" s="8" t="s">
        <v>213</v>
      </c>
      <c r="L11" s="8" t="s">
        <v>88</v>
      </c>
    </row>
    <row r="12" spans="1:12" x14ac:dyDescent="0.25">
      <c r="E12" s="7"/>
      <c r="G12" s="6"/>
      <c r="H12" s="6"/>
      <c r="I12" s="6"/>
      <c r="J12" s="6"/>
    </row>
    <row r="13" spans="1:12" x14ac:dyDescent="0.25">
      <c r="A13" t="s">
        <v>217</v>
      </c>
      <c r="E13" s="30">
        <v>0</v>
      </c>
      <c r="F13" s="31">
        <v>0</v>
      </c>
      <c r="G13" s="31">
        <v>0</v>
      </c>
      <c r="H13" s="31">
        <v>0</v>
      </c>
      <c r="I13" s="31">
        <v>0</v>
      </c>
      <c r="J13" s="6">
        <f>(E13*$E$3)+(F13*$E$4)+(G13*$E$5)+(H13*$E$6)+(I13*$E$7)</f>
        <v>0</v>
      </c>
      <c r="K13" s="25">
        <v>1750</v>
      </c>
      <c r="L13" s="6">
        <f>J13+K13</f>
        <v>1750</v>
      </c>
    </row>
    <row r="14" spans="1:12" x14ac:dyDescent="0.25">
      <c r="A14" t="s">
        <v>38</v>
      </c>
      <c r="E14" s="30">
        <v>189</v>
      </c>
      <c r="F14" s="31">
        <v>82</v>
      </c>
      <c r="G14" s="31">
        <v>128</v>
      </c>
      <c r="H14" s="31">
        <v>56</v>
      </c>
      <c r="I14" s="31">
        <v>75</v>
      </c>
      <c r="J14" s="6">
        <f>(E14*$E$3)+(F14*$E$4)+(G14*$E$5)+(H14*$E$6)+(I14*$E$7)</f>
        <v>116750</v>
      </c>
      <c r="K14" s="25">
        <v>0</v>
      </c>
      <c r="L14" s="6">
        <f>J14+K14</f>
        <v>116750</v>
      </c>
    </row>
    <row r="15" spans="1:12" x14ac:dyDescent="0.25">
      <c r="A15" t="s">
        <v>40</v>
      </c>
      <c r="E15" s="30">
        <v>124</v>
      </c>
      <c r="F15" s="31">
        <v>74</v>
      </c>
      <c r="G15" s="31">
        <v>44</v>
      </c>
      <c r="H15" s="31">
        <v>86</v>
      </c>
      <c r="I15" s="31">
        <v>21</v>
      </c>
      <c r="J15" s="6">
        <f t="shared" ref="J15:J26" si="0">(E15*$E$3)+(F15*$E$4)+(G15*$E$5)+(H15*$E$6)+(I15*$E$7)</f>
        <v>82840</v>
      </c>
      <c r="K15" s="25">
        <v>0</v>
      </c>
      <c r="L15" s="6">
        <f t="shared" ref="L15:L26" si="1">J15+K15</f>
        <v>82840</v>
      </c>
    </row>
    <row r="16" spans="1:12" x14ac:dyDescent="0.25">
      <c r="A16" t="s">
        <v>42</v>
      </c>
      <c r="E16" s="30">
        <v>119</v>
      </c>
      <c r="F16" s="31">
        <v>75</v>
      </c>
      <c r="G16" s="31">
        <v>40</v>
      </c>
      <c r="H16" s="31">
        <v>58</v>
      </c>
      <c r="I16" s="31">
        <v>0</v>
      </c>
      <c r="J16" s="6">
        <f t="shared" si="0"/>
        <v>73000</v>
      </c>
      <c r="K16" s="25">
        <v>0</v>
      </c>
      <c r="L16" s="6">
        <f t="shared" si="1"/>
        <v>73000</v>
      </c>
    </row>
    <row r="17" spans="1:13" x14ac:dyDescent="0.25">
      <c r="A17" t="s">
        <v>44</v>
      </c>
      <c r="E17" s="30">
        <v>39</v>
      </c>
      <c r="F17" s="31">
        <v>0</v>
      </c>
      <c r="G17" s="31">
        <v>0</v>
      </c>
      <c r="H17" s="31">
        <v>5</v>
      </c>
      <c r="I17" s="31">
        <v>0</v>
      </c>
      <c r="J17" s="6">
        <f t="shared" si="0"/>
        <v>11000</v>
      </c>
      <c r="K17" s="25">
        <v>0</v>
      </c>
      <c r="L17" s="6">
        <f t="shared" si="1"/>
        <v>11000</v>
      </c>
    </row>
    <row r="18" spans="1:13" x14ac:dyDescent="0.25">
      <c r="A18" t="s">
        <v>91</v>
      </c>
      <c r="E18" s="30">
        <v>21</v>
      </c>
      <c r="F18" s="31">
        <v>13</v>
      </c>
      <c r="G18" s="31">
        <v>13</v>
      </c>
      <c r="H18" s="31">
        <v>9</v>
      </c>
      <c r="I18" s="31">
        <v>0</v>
      </c>
      <c r="J18" s="6">
        <f t="shared" si="0"/>
        <v>14000</v>
      </c>
      <c r="K18" s="25">
        <v>0</v>
      </c>
      <c r="L18" s="6">
        <f t="shared" si="1"/>
        <v>14000</v>
      </c>
    </row>
    <row r="19" spans="1:13" x14ac:dyDescent="0.25">
      <c r="A19" t="s">
        <v>92</v>
      </c>
      <c r="E19" s="30">
        <v>45</v>
      </c>
      <c r="F19" s="31">
        <v>40</v>
      </c>
      <c r="G19" s="31">
        <v>40</v>
      </c>
      <c r="H19" s="31">
        <v>25</v>
      </c>
      <c r="I19" s="31">
        <v>0</v>
      </c>
      <c r="J19" s="6">
        <f t="shared" si="0"/>
        <v>37500</v>
      </c>
      <c r="K19" s="25">
        <v>0</v>
      </c>
      <c r="L19" s="6">
        <f t="shared" si="1"/>
        <v>37500</v>
      </c>
    </row>
    <row r="20" spans="1:13" x14ac:dyDescent="0.25">
      <c r="A20" t="s">
        <v>104</v>
      </c>
      <c r="E20" s="30">
        <v>20</v>
      </c>
      <c r="F20" s="31">
        <v>6</v>
      </c>
      <c r="G20" s="31">
        <v>9</v>
      </c>
      <c r="H20" s="31">
        <v>4</v>
      </c>
      <c r="I20" s="31">
        <v>0</v>
      </c>
      <c r="J20" s="6">
        <f t="shared" si="0"/>
        <v>9750</v>
      </c>
      <c r="K20" s="25">
        <f>20*50</f>
        <v>1000</v>
      </c>
      <c r="L20" s="6">
        <f t="shared" si="1"/>
        <v>10750</v>
      </c>
    </row>
    <row r="21" spans="1:13" x14ac:dyDescent="0.25">
      <c r="A21" t="s">
        <v>193</v>
      </c>
      <c r="E21" s="30">
        <v>20</v>
      </c>
      <c r="F21" s="31">
        <v>20</v>
      </c>
      <c r="G21" s="31">
        <v>0</v>
      </c>
      <c r="H21" s="31">
        <v>0</v>
      </c>
      <c r="I21" s="31">
        <v>0</v>
      </c>
      <c r="J21" s="6">
        <f t="shared" si="0"/>
        <v>10000</v>
      </c>
      <c r="K21" s="25">
        <v>0</v>
      </c>
      <c r="L21" s="6">
        <f t="shared" si="1"/>
        <v>10000</v>
      </c>
    </row>
    <row r="22" spans="1:13" x14ac:dyDescent="0.25">
      <c r="A22" t="s">
        <v>54</v>
      </c>
      <c r="E22" s="30">
        <v>30</v>
      </c>
      <c r="F22" s="31">
        <v>20</v>
      </c>
      <c r="G22" s="31">
        <v>15</v>
      </c>
      <c r="H22" s="31">
        <v>5</v>
      </c>
      <c r="I22" s="31">
        <f>8+67+6+12</f>
        <v>93</v>
      </c>
      <c r="J22" s="6">
        <f t="shared" si="0"/>
        <v>21220</v>
      </c>
      <c r="K22" s="25">
        <f>(30+15+40)*50</f>
        <v>4250</v>
      </c>
      <c r="L22" s="6">
        <f t="shared" si="1"/>
        <v>25470</v>
      </c>
    </row>
    <row r="23" spans="1:13" x14ac:dyDescent="0.25">
      <c r="A23" t="s">
        <v>56</v>
      </c>
      <c r="E23" s="30">
        <v>0</v>
      </c>
      <c r="F23" s="31">
        <v>0</v>
      </c>
      <c r="G23" s="31">
        <v>0</v>
      </c>
      <c r="H23" s="31">
        <v>0</v>
      </c>
      <c r="I23" s="31">
        <v>0</v>
      </c>
      <c r="J23" s="6">
        <f t="shared" si="0"/>
        <v>0</v>
      </c>
      <c r="K23" s="25">
        <v>0</v>
      </c>
      <c r="L23" s="6">
        <f t="shared" si="1"/>
        <v>0</v>
      </c>
    </row>
    <row r="24" spans="1:13" x14ac:dyDescent="0.25">
      <c r="A24" t="s">
        <v>58</v>
      </c>
      <c r="E24" s="30">
        <f>(670/750)*(251*1)</f>
        <v>224.22666666666666</v>
      </c>
      <c r="F24" s="30">
        <f>(670/750)*(251*1)</f>
        <v>224.22666666666666</v>
      </c>
      <c r="G24" s="30">
        <f>(670/750)*(251*1)</f>
        <v>224.22666666666666</v>
      </c>
      <c r="H24" s="31">
        <v>0</v>
      </c>
      <c r="I24" s="31">
        <v>0</v>
      </c>
      <c r="J24" s="6">
        <f t="shared" si="0"/>
        <v>168170</v>
      </c>
      <c r="K24" s="25">
        <v>0</v>
      </c>
      <c r="L24" s="6">
        <f t="shared" si="1"/>
        <v>168170</v>
      </c>
    </row>
    <row r="25" spans="1:13" x14ac:dyDescent="0.25">
      <c r="A25" t="s">
        <v>99</v>
      </c>
      <c r="E25" s="30">
        <v>28</v>
      </c>
      <c r="F25" s="31">
        <v>16</v>
      </c>
      <c r="G25" s="31">
        <v>25</v>
      </c>
      <c r="H25" s="31">
        <v>13</v>
      </c>
      <c r="I25" s="31">
        <v>6</v>
      </c>
      <c r="J25" s="6">
        <f t="shared" si="0"/>
        <v>20740</v>
      </c>
      <c r="K25" s="25">
        <f>150*50</f>
        <v>7500</v>
      </c>
      <c r="L25" s="6">
        <f t="shared" si="1"/>
        <v>28240</v>
      </c>
    </row>
    <row r="26" spans="1:13" x14ac:dyDescent="0.25">
      <c r="A26" t="s">
        <v>100</v>
      </c>
      <c r="E26" s="30">
        <v>25</v>
      </c>
      <c r="F26" s="30">
        <v>25</v>
      </c>
      <c r="G26" s="31">
        <v>25</v>
      </c>
      <c r="H26" s="31">
        <v>25</v>
      </c>
      <c r="I26" s="31">
        <v>25</v>
      </c>
      <c r="J26" s="6">
        <f t="shared" si="0"/>
        <v>26000</v>
      </c>
      <c r="K26" s="25">
        <v>0</v>
      </c>
      <c r="L26" s="6">
        <f t="shared" si="1"/>
        <v>26000</v>
      </c>
    </row>
    <row r="27" spans="1:13" x14ac:dyDescent="0.25">
      <c r="E27" s="5"/>
      <c r="G27" s="6"/>
      <c r="H27" s="6"/>
      <c r="I27" s="6"/>
      <c r="J27" s="6"/>
    </row>
    <row r="28" spans="1:13" x14ac:dyDescent="0.25">
      <c r="A28" t="s">
        <v>64</v>
      </c>
      <c r="E28" s="11">
        <f>SUM(E14:E26)</f>
        <v>884.22666666666669</v>
      </c>
      <c r="F28" s="11">
        <f t="shared" ref="F28:I28" si="2">SUM(F14:F26)</f>
        <v>595.22666666666669</v>
      </c>
      <c r="G28" s="11">
        <f t="shared" si="2"/>
        <v>563.22666666666669</v>
      </c>
      <c r="H28" s="11">
        <f t="shared" si="2"/>
        <v>286</v>
      </c>
      <c r="I28" s="11">
        <f t="shared" si="2"/>
        <v>220</v>
      </c>
      <c r="J28" s="6">
        <f>SUM(J14:J26)</f>
        <v>590970</v>
      </c>
      <c r="K28" s="6">
        <f>SUM(K14:K26)</f>
        <v>12750</v>
      </c>
      <c r="L28" s="6">
        <f>SUM(L14:L26)</f>
        <v>603720</v>
      </c>
    </row>
    <row r="29" spans="1:13" x14ac:dyDescent="0.25">
      <c r="E29" s="5"/>
      <c r="G29" s="6"/>
      <c r="H29" s="6"/>
      <c r="I29" s="6"/>
      <c r="J29" s="6"/>
    </row>
    <row r="30" spans="1:13" x14ac:dyDescent="0.25">
      <c r="A30" t="s">
        <v>69</v>
      </c>
      <c r="E30" s="30">
        <v>68</v>
      </c>
      <c r="F30" s="31">
        <v>68</v>
      </c>
      <c r="G30" s="31">
        <v>68</v>
      </c>
      <c r="H30" s="31">
        <v>68</v>
      </c>
      <c r="I30" s="31">
        <v>68</v>
      </c>
      <c r="J30" s="6">
        <f>(E30*$E$3)+(F30*$E$4)+(G30*$E$5)+(H30*$E$6)+(I30*$E$7)</f>
        <v>70720</v>
      </c>
      <c r="K30" s="25">
        <v>0</v>
      </c>
      <c r="L30" s="6">
        <f>SUM(J30:K30)</f>
        <v>70720</v>
      </c>
      <c r="M30" s="13"/>
    </row>
    <row r="31" spans="1:13" x14ac:dyDescent="0.25">
      <c r="E31" s="12"/>
      <c r="F31" s="13"/>
      <c r="G31" s="13"/>
      <c r="H31" s="13"/>
      <c r="I31" s="13"/>
      <c r="J31" s="13"/>
      <c r="K31" s="13"/>
      <c r="L31" s="13"/>
      <c r="M31" s="13"/>
    </row>
    <row r="32" spans="1:13" x14ac:dyDescent="0.25">
      <c r="A32" t="s">
        <v>71</v>
      </c>
      <c r="E32" s="12">
        <f>SUM(E28, E30)</f>
        <v>952.22666666666669</v>
      </c>
      <c r="F32" s="12">
        <f t="shared" ref="F32:I32" si="3">SUM(F28, F30)</f>
        <v>663.22666666666669</v>
      </c>
      <c r="G32" s="12">
        <f t="shared" si="3"/>
        <v>631.22666666666669</v>
      </c>
      <c r="H32" s="12">
        <f t="shared" si="3"/>
        <v>354</v>
      </c>
      <c r="I32" s="12">
        <f t="shared" si="3"/>
        <v>288</v>
      </c>
      <c r="J32" s="6">
        <f>(E32*$E$3)+(F32*$E$4)+(G32*$E$5)+(H32*$E$6)+(I32*$E$7)</f>
        <v>661690</v>
      </c>
      <c r="K32" s="6">
        <f>SUM(K28, K30)</f>
        <v>12750</v>
      </c>
      <c r="L32" s="6">
        <f>SUM(J32:K32)</f>
        <v>674440</v>
      </c>
      <c r="M32" s="13"/>
    </row>
    <row r="33" spans="1:13" x14ac:dyDescent="0.25">
      <c r="E33" s="12"/>
      <c r="F33" s="13"/>
      <c r="G33" s="13"/>
      <c r="H33" s="13"/>
      <c r="I33" s="13"/>
      <c r="J33" s="13"/>
      <c r="K33" s="13"/>
      <c r="L33" s="13"/>
      <c r="M33" s="13"/>
    </row>
    <row r="34" spans="1:13" x14ac:dyDescent="0.25">
      <c r="A34" t="s">
        <v>93</v>
      </c>
      <c r="E34" s="31">
        <v>42.07</v>
      </c>
      <c r="F34" s="31">
        <v>42.07</v>
      </c>
      <c r="G34" s="30">
        <v>42.07</v>
      </c>
      <c r="H34" s="30">
        <v>42.07</v>
      </c>
      <c r="I34" s="30">
        <v>42.07</v>
      </c>
      <c r="J34" s="6">
        <f>(E34*$E$3)+(F34*$E$4)+(G34*$E$5)+(H34*$E$6)+(I34*$E$7)</f>
        <v>43752.800000000003</v>
      </c>
      <c r="K34" s="25">
        <v>6247</v>
      </c>
      <c r="L34" s="6">
        <f>SUM(J34:K34)</f>
        <v>49999.8</v>
      </c>
      <c r="M34" s="13"/>
    </row>
  </sheetData>
  <sheetProtection sheet="1" objects="1" scenarios="1"/>
  <mergeCells count="1">
    <mergeCell ref="E9:I9"/>
  </mergeCells>
  <pageMargins left="0.7" right="0.7" top="0.75" bottom="0.75" header="0.3" footer="0.3"/>
  <pageSetup orientation="portrait" r:id="rId1"/>
  <ignoredErrors>
    <ignoredError sqref="J32" formula="1"/>
    <ignoredError sqref="K20 K22 I22 K25 E24:G24" unlockedFormula="1"/>
    <ignoredError sqref="H28:I28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7"/>
  <sheetViews>
    <sheetView zoomScale="150" zoomScaleNormal="150" workbookViewId="0"/>
  </sheetViews>
  <sheetFormatPr defaultRowHeight="15" x14ac:dyDescent="0.25"/>
  <sheetData>
    <row r="1" spans="1:4" x14ac:dyDescent="0.25">
      <c r="A1" s="9" t="s">
        <v>105</v>
      </c>
    </row>
    <row r="3" spans="1:4" x14ac:dyDescent="0.25">
      <c r="B3" s="6">
        <f>'Crop Income'!$L$32+'Other Income'!$G$15+'Income Statement'!$L$6</f>
        <v>667328.75</v>
      </c>
      <c r="D3" t="s">
        <v>111</v>
      </c>
    </row>
    <row r="5" spans="1:4" x14ac:dyDescent="0.25">
      <c r="B5" s="6">
        <f>Expenses!$L$28</f>
        <v>603720</v>
      </c>
      <c r="D5" t="s">
        <v>110</v>
      </c>
    </row>
    <row r="7" spans="1:4" x14ac:dyDescent="0.25">
      <c r="B7" s="6">
        <f>Expenses!$L$30</f>
        <v>70720</v>
      </c>
      <c r="D7" t="s">
        <v>69</v>
      </c>
    </row>
    <row r="9" spans="1:4" x14ac:dyDescent="0.25">
      <c r="B9" s="25">
        <v>0</v>
      </c>
      <c r="D9" t="s">
        <v>108</v>
      </c>
    </row>
    <row r="11" spans="1:4" x14ac:dyDescent="0.25">
      <c r="B11" s="25">
        <v>0</v>
      </c>
      <c r="D11" t="s">
        <v>109</v>
      </c>
    </row>
    <row r="13" spans="1:4" x14ac:dyDescent="0.25">
      <c r="B13" s="6">
        <f>IF((B3-B5-B7+B9-B11)&gt;0, B3-B5-B7+B9-B11, 0)</f>
        <v>0</v>
      </c>
      <c r="D13" t="s">
        <v>112</v>
      </c>
    </row>
    <row r="15" spans="1:4" x14ac:dyDescent="0.25">
      <c r="B15" s="28">
        <v>0.2</v>
      </c>
      <c r="D15" t="s">
        <v>113</v>
      </c>
    </row>
    <row r="17" spans="2:4" x14ac:dyDescent="0.25">
      <c r="B17" s="6">
        <f>B13*B15</f>
        <v>0</v>
      </c>
      <c r="D17" t="s">
        <v>114</v>
      </c>
    </row>
  </sheetData>
  <sheetProtection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9"/>
  <sheetViews>
    <sheetView zoomScale="150" zoomScaleNormal="150" workbookViewId="0"/>
  </sheetViews>
  <sheetFormatPr defaultRowHeight="15" x14ac:dyDescent="0.25"/>
  <sheetData>
    <row r="1" spans="1:8" x14ac:dyDescent="0.25">
      <c r="A1" s="9" t="s">
        <v>164</v>
      </c>
    </row>
    <row r="3" spans="1:8" x14ac:dyDescent="0.25">
      <c r="B3" s="37" t="s">
        <v>161</v>
      </c>
    </row>
    <row r="4" spans="1:8" x14ac:dyDescent="0.25">
      <c r="B4" t="s">
        <v>119</v>
      </c>
      <c r="G4" s="25">
        <v>0</v>
      </c>
      <c r="H4" s="6"/>
    </row>
    <row r="5" spans="1:8" x14ac:dyDescent="0.25">
      <c r="G5" s="6"/>
      <c r="H5" s="6"/>
    </row>
    <row r="6" spans="1:8" x14ac:dyDescent="0.25">
      <c r="B6" s="37" t="s">
        <v>162</v>
      </c>
      <c r="G6" s="6"/>
      <c r="H6" s="6"/>
    </row>
    <row r="7" spans="1:8" x14ac:dyDescent="0.25">
      <c r="B7" t="s">
        <v>163</v>
      </c>
      <c r="G7" s="25">
        <v>50000</v>
      </c>
      <c r="H7" s="20"/>
    </row>
    <row r="8" spans="1:8" x14ac:dyDescent="0.25">
      <c r="B8" t="s">
        <v>122</v>
      </c>
      <c r="G8" s="6">
        <f>'Tax Estimate'!$B$17</f>
        <v>0</v>
      </c>
      <c r="H8" s="20"/>
    </row>
    <row r="9" spans="1:8" x14ac:dyDescent="0.25">
      <c r="G9" s="6"/>
      <c r="H9" s="20"/>
    </row>
  </sheetData>
  <sheetProtection sheet="1" objects="1" scenarios="1"/>
  <printOptions headings="1" gridLines="1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Instructions</vt:lpstr>
      <vt:lpstr>Table Titles</vt:lpstr>
      <vt:lpstr>Inventories and Financing</vt:lpstr>
      <vt:lpstr>Crop Acres</vt:lpstr>
      <vt:lpstr>Crop Income</vt:lpstr>
      <vt:lpstr>Other Income</vt:lpstr>
      <vt:lpstr>Expenses</vt:lpstr>
      <vt:lpstr>Tax Estimate</vt:lpstr>
      <vt:lpstr>NonFarm</vt:lpstr>
      <vt:lpstr>Income Statement</vt:lpstr>
      <vt:lpstr>Sources and Uses</vt:lpstr>
      <vt:lpstr>Repayment Capacity</vt:lpstr>
      <vt:lpstr>Working Capital</vt:lpstr>
    </vt:vector>
  </TitlesOfParts>
  <Company>Purdue University - AgIT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Langemeier, Michael R</dc:creator>
  <cp:lastModifiedBy>Langemeier, Michael R</cp:lastModifiedBy>
  <cp:lastPrinted>2018-10-18T20:53:58Z</cp:lastPrinted>
  <dcterms:created xsi:type="dcterms:W3CDTF">2016-02-23T18:14:23Z</dcterms:created>
  <dcterms:modified xsi:type="dcterms:W3CDTF">2025-02-24T22:00:04Z</dcterms:modified>
</cp:coreProperties>
</file>