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Long-Run Cash Rent Spreadsheet\"/>
    </mc:Choice>
  </mc:AlternateContent>
  <xr:revisionPtr revIDLastSave="0" documentId="13_ncr:1_{E151C2F6-D251-493E-9310-AE60391105B4}" xr6:coauthVersionLast="47" xr6:coauthVersionMax="47" xr10:uidLastSave="{00000000-0000-0000-0000-000000000000}"/>
  <bookViews>
    <workbookView xWindow="30420" yWindow="2760" windowWidth="21660" windowHeight="11715" activeTab="1" xr2:uid="{00000000-000D-0000-FFFF-FFFF00000000}"/>
  </bookViews>
  <sheets>
    <sheet name="Budgets" sheetId="1" r:id="rId1"/>
    <sheet name="LongRu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L39" i="1" l="1"/>
  <c r="K29" i="1"/>
  <c r="J29" i="1"/>
  <c r="I29" i="1"/>
  <c r="H29" i="1"/>
  <c r="L41" i="1"/>
  <c r="L31" i="1"/>
  <c r="K28" i="1"/>
  <c r="J28" i="1"/>
  <c r="I28" i="1"/>
  <c r="H28" i="1"/>
  <c r="F15" i="2"/>
  <c r="G15" i="2" s="1"/>
  <c r="H15" i="2" s="1"/>
  <c r="I15" i="2" s="1"/>
  <c r="J15" i="2" s="1"/>
  <c r="F14" i="2"/>
  <c r="G14" i="2" s="1"/>
  <c r="H14" i="2" s="1"/>
  <c r="I14" i="2" s="1"/>
  <c r="J14" i="2" s="1"/>
  <c r="F13" i="2"/>
  <c r="G13" i="2" s="1"/>
  <c r="H13" i="2" s="1"/>
  <c r="I13" i="2" s="1"/>
  <c r="J13" i="2" s="1"/>
  <c r="F12" i="2"/>
  <c r="G12" i="2" s="1"/>
  <c r="L42" i="1"/>
  <c r="F49" i="2" s="1"/>
  <c r="L40" i="1"/>
  <c r="L38" i="1"/>
  <c r="L32" i="1"/>
  <c r="L30" i="1"/>
  <c r="L27" i="1"/>
  <c r="L26" i="1"/>
  <c r="L25" i="1"/>
  <c r="L24" i="1"/>
  <c r="L23" i="1"/>
  <c r="L22" i="1"/>
  <c r="K44" i="1"/>
  <c r="J44" i="1"/>
  <c r="I44" i="1"/>
  <c r="H44" i="1"/>
  <c r="G5" i="1"/>
  <c r="F25" i="2"/>
  <c r="L14" i="1"/>
  <c r="F43" i="2" s="1"/>
  <c r="J13" i="1"/>
  <c r="J18" i="1" s="1"/>
  <c r="I13" i="1"/>
  <c r="I18" i="1" s="1"/>
  <c r="H13" i="1"/>
  <c r="H18" i="1" s="1"/>
  <c r="F24" i="2"/>
  <c r="L15" i="1"/>
  <c r="F44" i="2" s="1"/>
  <c r="L16" i="1"/>
  <c r="F45" i="2" s="1"/>
  <c r="J73" i="2" l="1"/>
  <c r="I73" i="2"/>
  <c r="H73" i="2"/>
  <c r="G73" i="2"/>
  <c r="F73" i="2"/>
  <c r="L28" i="1"/>
  <c r="I34" i="1"/>
  <c r="I46" i="1" s="1"/>
  <c r="I50" i="1" s="1"/>
  <c r="F22" i="2"/>
  <c r="F23" i="2"/>
  <c r="I36" i="1"/>
  <c r="H34" i="1"/>
  <c r="H46" i="1" s="1"/>
  <c r="H50" i="1" s="1"/>
  <c r="K13" i="1"/>
  <c r="K18" i="1" s="1"/>
  <c r="K36" i="1" s="1"/>
  <c r="H36" i="1"/>
  <c r="H12" i="2"/>
  <c r="G42" i="2"/>
  <c r="G46" i="2" s="1"/>
  <c r="K34" i="1"/>
  <c r="K46" i="1" s="1"/>
  <c r="F35" i="2" s="1"/>
  <c r="L29" i="1"/>
  <c r="J36" i="1"/>
  <c r="J34" i="1"/>
  <c r="J46" i="1" s="1"/>
  <c r="J50" i="1" s="1"/>
  <c r="L44" i="1"/>
  <c r="L13" i="1" l="1"/>
  <c r="F42" i="2" s="1"/>
  <c r="F46" i="2" s="1"/>
  <c r="L34" i="1"/>
  <c r="L46" i="1" s="1"/>
  <c r="I48" i="1"/>
  <c r="F33" i="2"/>
  <c r="J33" i="2" s="1"/>
  <c r="F32" i="2"/>
  <c r="I32" i="2" s="1"/>
  <c r="H48" i="1"/>
  <c r="I12" i="2"/>
  <c r="H42" i="2"/>
  <c r="H46" i="2" s="1"/>
  <c r="F34" i="2"/>
  <c r="H34" i="2" s="1"/>
  <c r="K48" i="1"/>
  <c r="K50" i="1"/>
  <c r="J48" i="1"/>
  <c r="G35" i="2"/>
  <c r="H35" i="2"/>
  <c r="I35" i="2"/>
  <c r="J35" i="2"/>
  <c r="L18" i="1" l="1"/>
  <c r="L36" i="1" s="1"/>
  <c r="I33" i="2"/>
  <c r="G33" i="2"/>
  <c r="H33" i="2"/>
  <c r="H32" i="2"/>
  <c r="J32" i="2"/>
  <c r="G32" i="2"/>
  <c r="J12" i="2"/>
  <c r="J42" i="2" s="1"/>
  <c r="J46" i="2" s="1"/>
  <c r="I42" i="2"/>
  <c r="I46" i="2" s="1"/>
  <c r="J34" i="2"/>
  <c r="I34" i="2"/>
  <c r="F48" i="2"/>
  <c r="F50" i="2" s="1"/>
  <c r="F52" i="2" s="1"/>
  <c r="G34" i="2"/>
  <c r="L48" i="1" l="1"/>
  <c r="F68" i="2"/>
  <c r="F70" i="2" s="1"/>
  <c r="F59" i="2"/>
  <c r="F61" i="2"/>
  <c r="I48" i="2"/>
  <c r="I50" i="2" s="1"/>
  <c r="I52" i="2" s="1"/>
  <c r="H48" i="2"/>
  <c r="H50" i="2" s="1"/>
  <c r="H52" i="2" s="1"/>
  <c r="G48" i="2"/>
  <c r="G50" i="2" s="1"/>
  <c r="G52" i="2" s="1"/>
  <c r="G68" i="2" s="1"/>
  <c r="J48" i="2"/>
  <c r="J50" i="2" s="1"/>
  <c r="J52" i="2" s="1"/>
  <c r="H68" i="2" l="1"/>
  <c r="I68" i="2"/>
  <c r="J68" i="2"/>
  <c r="H59" i="2"/>
  <c r="H61" i="2"/>
  <c r="J59" i="2"/>
  <c r="J61" i="2"/>
  <c r="G59" i="2"/>
  <c r="G61" i="2"/>
  <c r="I59" i="2"/>
  <c r="I61" i="2"/>
  <c r="G70" i="2"/>
  <c r="H70" i="2" l="1"/>
  <c r="I70" i="2" l="1"/>
  <c r="J70" i="2" l="1"/>
</calcChain>
</file>

<file path=xl/sharedStrings.xml><?xml version="1.0" encoding="utf-8"?>
<sst xmlns="http://schemas.openxmlformats.org/spreadsheetml/2006/main" count="86" uniqueCount="71">
  <si>
    <t>Yield per Acre</t>
  </si>
  <si>
    <t>Cash Price ($/bu)</t>
  </si>
  <si>
    <t>Crop Revenue</t>
  </si>
  <si>
    <t>ARC/PLC Payments</t>
  </si>
  <si>
    <t>Crop Insurance</t>
  </si>
  <si>
    <t>Other Revenue</t>
  </si>
  <si>
    <t>Total Revenue</t>
  </si>
  <si>
    <t>Corn</t>
  </si>
  <si>
    <t>Soybeans</t>
  </si>
  <si>
    <t>Wheat</t>
  </si>
  <si>
    <t>Average</t>
  </si>
  <si>
    <t>Fertilizer</t>
  </si>
  <si>
    <t>Seed</t>
  </si>
  <si>
    <t>Pesticides</t>
  </si>
  <si>
    <t>Dryer Fuel</t>
  </si>
  <si>
    <t>Machinery Fuel</t>
  </si>
  <si>
    <t>Machinery Repairs</t>
  </si>
  <si>
    <t>DC Soybeans</t>
  </si>
  <si>
    <t>Miscellaneous</t>
  </si>
  <si>
    <t>Land</t>
  </si>
  <si>
    <t>Earnings</t>
  </si>
  <si>
    <t>Total Cost</t>
  </si>
  <si>
    <t>Δ bu / year</t>
  </si>
  <si>
    <t>% Δ / year</t>
  </si>
  <si>
    <t>Cost per Acre</t>
  </si>
  <si>
    <t>Dollars per Bushel</t>
  </si>
  <si>
    <t>Crop Yield</t>
  </si>
  <si>
    <t>Break-Even Rents</t>
  </si>
  <si>
    <t>Working Capital Analysis</t>
  </si>
  <si>
    <t>Cash Flow per Acre</t>
  </si>
  <si>
    <t>Projected Earnings</t>
  </si>
  <si>
    <t>Non-Land Cost Changes</t>
  </si>
  <si>
    <t>Non-Land Cost</t>
  </si>
  <si>
    <t>Land Cost</t>
  </si>
  <si>
    <t>Beg WC / acre</t>
  </si>
  <si>
    <t>Working Capital per Acre</t>
  </si>
  <si>
    <t>Revenue per Acre</t>
  </si>
  <si>
    <t>Expected Basis at Delivery ($/bu)</t>
  </si>
  <si>
    <t>New Crop Futures Price ($/bu)</t>
  </si>
  <si>
    <t>Expected Crop Insurance Payment</t>
  </si>
  <si>
    <t>Other Revenue (zero in most situations)</t>
  </si>
  <si>
    <t>Total Revenue per Acre</t>
  </si>
  <si>
    <t>Percent of Acres (total; column G)</t>
  </si>
  <si>
    <t>Hauling (charge per bu.; column G)</t>
  </si>
  <si>
    <t>General Farm Insurance</t>
  </si>
  <si>
    <t>Hired Labor</t>
  </si>
  <si>
    <t>Operator and Family Labor</t>
  </si>
  <si>
    <t>Variable Cost per Acre</t>
  </si>
  <si>
    <t>Contribution Margin per Acre</t>
  </si>
  <si>
    <t>Machinery and Building Depreciation</t>
  </si>
  <si>
    <t>Breakeven Price per Bushel</t>
  </si>
  <si>
    <t>Cash Price Scenarios</t>
  </si>
  <si>
    <t>Input - Prices and Yields for Next Five Years (Enter Data in Yellow Cells)</t>
  </si>
  <si>
    <t>Overhead Cost per Acre</t>
  </si>
  <si>
    <t>Total Cost per Acre</t>
  </si>
  <si>
    <t>Earnings per Acre</t>
  </si>
  <si>
    <t>Working Capital to Gross Revenue</t>
  </si>
  <si>
    <t>Operating Interest (rate; column G)</t>
  </si>
  <si>
    <t>Per Acre</t>
  </si>
  <si>
    <t>Machinery and Building Interest</t>
  </si>
  <si>
    <t>Non-Land Cost per Acre</t>
  </si>
  <si>
    <t>Cash Rent Premium</t>
  </si>
  <si>
    <t>Acres Operated</t>
  </si>
  <si>
    <t>Total Acres Operated</t>
  </si>
  <si>
    <t>Percent of Acres Operated Included in Analysis</t>
  </si>
  <si>
    <t>Increase in Machinery, Building, and</t>
  </si>
  <si>
    <t>Labor Cost per Acre if Acres are Given Up</t>
  </si>
  <si>
    <t>ARC/PLC Payments (2025 crop)</t>
  </si>
  <si>
    <t>2026 Crop Budgets (Enter Data in Yellow Cells)</t>
  </si>
  <si>
    <t>Yields for 2026 through 2030</t>
  </si>
  <si>
    <t>All Non-Land Costs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</si>
</sst>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0.0%"/>
    <numFmt numFmtId="167" formatCode="&quot;$&quot;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 tint="-0.249977111117893"/>
      <name val="Calibri"/>
      <family val="2"/>
      <scheme val="minor"/>
    </font>
    <font>
      <b/>
      <sz val="11"/>
      <color theme="2" tint="-0.749992370372631"/>
      <name val="Calibri"/>
      <family val="2"/>
    </font>
    <font>
      <b/>
      <sz val="11"/>
      <color theme="2" tint="-0.74999237037263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/>
    <xf numFmtId="2" fontId="0" fillId="0" borderId="0" xfId="0" applyNumberFormat="1"/>
    <xf numFmtId="165" fontId="5" fillId="0" borderId="0" xfId="0" applyNumberFormat="1" applyFont="1"/>
    <xf numFmtId="2" fontId="5" fillId="0" borderId="0" xfId="0" applyNumberFormat="1" applyFont="1"/>
    <xf numFmtId="165" fontId="6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165" fontId="11" fillId="0" borderId="0" xfId="0" applyNumberFormat="1" applyFont="1"/>
    <xf numFmtId="166" fontId="12" fillId="0" borderId="0" xfId="1" applyNumberFormat="1" applyFont="1"/>
    <xf numFmtId="2" fontId="2" fillId="0" borderId="0" xfId="0" applyNumberFormat="1" applyFont="1"/>
    <xf numFmtId="164" fontId="3" fillId="2" borderId="1" xfId="2" applyNumberFormat="1" applyFont="1" applyProtection="1">
      <protection locked="0"/>
    </xf>
    <xf numFmtId="165" fontId="3" fillId="2" borderId="1" xfId="2" applyNumberFormat="1" applyFont="1" applyProtection="1">
      <protection locked="0"/>
    </xf>
    <xf numFmtId="4" fontId="3" fillId="2" borderId="1" xfId="2" applyNumberFormat="1" applyFont="1" applyProtection="1">
      <protection locked="0"/>
    </xf>
    <xf numFmtId="2" fontId="3" fillId="2" borderId="1" xfId="2" applyNumberFormat="1" applyFont="1" applyProtection="1">
      <protection locked="0"/>
    </xf>
    <xf numFmtId="166" fontId="3" fillId="2" borderId="1" xfId="2" applyNumberFormat="1" applyFont="1" applyProtection="1">
      <protection locked="0"/>
    </xf>
    <xf numFmtId="2" fontId="3" fillId="2" borderId="1" xfId="2" applyNumberFormat="1" applyFont="1" applyAlignment="1" applyProtection="1">
      <alignment horizontal="center"/>
      <protection locked="0"/>
    </xf>
    <xf numFmtId="0" fontId="2" fillId="0" borderId="0" xfId="0" applyFont="1" applyAlignment="1"/>
    <xf numFmtId="0" fontId="2" fillId="0" borderId="2" xfId="0" applyFont="1" applyFill="1" applyBorder="1" applyAlignment="1"/>
    <xf numFmtId="165" fontId="12" fillId="0" borderId="0" xfId="0" applyNumberFormat="1" applyFont="1"/>
    <xf numFmtId="166" fontId="5" fillId="0" borderId="0" xfId="0" applyNumberFormat="1" applyFont="1"/>
    <xf numFmtId="0" fontId="2" fillId="2" borderId="1" xfId="2" applyFont="1" applyProtection="1">
      <protection locked="0"/>
    </xf>
    <xf numFmtId="166" fontId="2" fillId="2" borderId="1" xfId="2" applyNumberFormat="1" applyFont="1" applyProtection="1">
      <protection locked="0"/>
    </xf>
    <xf numFmtId="165" fontId="13" fillId="0" borderId="0" xfId="3" applyNumberFormat="1" applyFont="1"/>
    <xf numFmtId="167" fontId="3" fillId="2" borderId="1" xfId="2" applyNumberFormat="1" applyFont="1" applyProtection="1">
      <protection locked="0"/>
    </xf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urrency" xfId="3" builtinId="4"/>
    <cellStyle name="Normal" xfId="0" builtinId="0"/>
    <cellStyle name="Note" xfId="2" builtinId="10"/>
    <cellStyle name="Percent" xfId="1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zoomScale="150" zoomScaleNormal="150" workbookViewId="0"/>
  </sheetViews>
  <sheetFormatPr defaultRowHeight="15" x14ac:dyDescent="0.25"/>
  <cols>
    <col min="7" max="7" width="8.7109375" customWidth="1"/>
    <col min="8" max="12" width="12.7109375" customWidth="1"/>
  </cols>
  <sheetData>
    <row r="1" spans="1:12" x14ac:dyDescent="0.25">
      <c r="A1" s="1" t="s">
        <v>68</v>
      </c>
    </row>
    <row r="2" spans="1:12" x14ac:dyDescent="0.25">
      <c r="A2" s="1"/>
    </row>
    <row r="3" spans="1:12" x14ac:dyDescent="0.25">
      <c r="A3" s="1"/>
      <c r="H3" s="2" t="s">
        <v>7</v>
      </c>
      <c r="I3" s="2" t="s">
        <v>8</v>
      </c>
      <c r="J3" s="2" t="s">
        <v>9</v>
      </c>
      <c r="K3" s="2" t="s">
        <v>17</v>
      </c>
      <c r="L3" s="2" t="s">
        <v>10</v>
      </c>
    </row>
    <row r="5" spans="1:12" x14ac:dyDescent="0.25">
      <c r="B5" t="s">
        <v>42</v>
      </c>
      <c r="G5" s="26">
        <f>SUM(H5, I5, J5)</f>
        <v>1</v>
      </c>
      <c r="H5" s="21">
        <v>0.35</v>
      </c>
      <c r="I5" s="21">
        <v>0.35</v>
      </c>
      <c r="J5" s="21">
        <v>0.3</v>
      </c>
    </row>
    <row r="6" spans="1:12" x14ac:dyDescent="0.25">
      <c r="B6" t="s">
        <v>0</v>
      </c>
      <c r="H6" s="17">
        <v>198</v>
      </c>
      <c r="I6" s="17">
        <v>60</v>
      </c>
      <c r="J6" s="17">
        <v>85</v>
      </c>
      <c r="K6" s="17">
        <v>42</v>
      </c>
    </row>
    <row r="7" spans="1:12" x14ac:dyDescent="0.25">
      <c r="B7" t="s">
        <v>38</v>
      </c>
      <c r="H7" s="18">
        <v>4.55</v>
      </c>
      <c r="I7" s="18">
        <v>10.7</v>
      </c>
      <c r="J7" s="18">
        <v>5.45</v>
      </c>
      <c r="K7" s="18">
        <v>10.7</v>
      </c>
    </row>
    <row r="8" spans="1:12" x14ac:dyDescent="0.25">
      <c r="B8" t="s">
        <v>37</v>
      </c>
      <c r="H8" s="19">
        <v>-0.25</v>
      </c>
      <c r="I8" s="19">
        <v>-0.35</v>
      </c>
      <c r="J8" s="19">
        <v>-0.35</v>
      </c>
      <c r="K8" s="19">
        <v>-0.35</v>
      </c>
    </row>
    <row r="9" spans="1:12" x14ac:dyDescent="0.25">
      <c r="B9" t="s">
        <v>1</v>
      </c>
      <c r="H9" s="5">
        <f>H7+H8</f>
        <v>4.3</v>
      </c>
      <c r="I9" s="5">
        <f t="shared" ref="I9:K9" si="0">I7+I8</f>
        <v>10.35</v>
      </c>
      <c r="J9" s="5">
        <f t="shared" si="0"/>
        <v>5.1000000000000005</v>
      </c>
      <c r="K9" s="5">
        <f t="shared" si="0"/>
        <v>10.35</v>
      </c>
    </row>
    <row r="11" spans="1:12" x14ac:dyDescent="0.25">
      <c r="B11" t="s">
        <v>36</v>
      </c>
      <c r="H11" s="31"/>
      <c r="I11" s="31"/>
      <c r="J11" s="31"/>
      <c r="K11" s="31"/>
    </row>
    <row r="12" spans="1:12" x14ac:dyDescent="0.25">
      <c r="H12" s="32" t="s">
        <v>58</v>
      </c>
      <c r="I12" s="32"/>
      <c r="J12" s="32"/>
      <c r="K12" s="32"/>
      <c r="L12" s="23"/>
    </row>
    <row r="13" spans="1:12" x14ac:dyDescent="0.25">
      <c r="C13" t="s">
        <v>2</v>
      </c>
      <c r="H13" s="5">
        <f>H6*H9</f>
        <v>851.4</v>
      </c>
      <c r="I13" s="5">
        <f t="shared" ref="I13:J13" si="1">I6*I9</f>
        <v>621</v>
      </c>
      <c r="J13" s="5">
        <f t="shared" si="1"/>
        <v>433.50000000000006</v>
      </c>
      <c r="K13" s="5">
        <f t="shared" ref="K13" si="2">K6*K9</f>
        <v>434.7</v>
      </c>
      <c r="L13" s="5">
        <f>(H13*$H$5)+(I13*$I$5)+((J13+K13)*$J$5)</f>
        <v>775.8</v>
      </c>
    </row>
    <row r="14" spans="1:12" x14ac:dyDescent="0.25">
      <c r="C14" t="s">
        <v>67</v>
      </c>
      <c r="H14" s="20">
        <v>50</v>
      </c>
      <c r="I14" s="20">
        <v>50</v>
      </c>
      <c r="J14" s="20">
        <v>50</v>
      </c>
      <c r="K14" s="20">
        <v>0</v>
      </c>
      <c r="L14" s="6">
        <f>(H14*$H$5)+(I14*$I$5)+((J14+K14)*$J$5)</f>
        <v>50</v>
      </c>
    </row>
    <row r="15" spans="1:12" x14ac:dyDescent="0.25">
      <c r="C15" t="s">
        <v>39</v>
      </c>
      <c r="H15" s="20">
        <v>0</v>
      </c>
      <c r="I15" s="20">
        <v>0</v>
      </c>
      <c r="J15" s="20">
        <v>0</v>
      </c>
      <c r="K15" s="20">
        <v>0</v>
      </c>
      <c r="L15" s="6">
        <f>(H15*$H$5)+(I15*$I$5)+((J15+K15)*$J$5)</f>
        <v>0</v>
      </c>
    </row>
    <row r="16" spans="1:12" x14ac:dyDescent="0.25">
      <c r="C16" t="s">
        <v>40</v>
      </c>
      <c r="H16" s="20">
        <v>0</v>
      </c>
      <c r="I16" s="20">
        <v>0</v>
      </c>
      <c r="J16" s="20">
        <v>0</v>
      </c>
      <c r="K16" s="20">
        <v>0</v>
      </c>
      <c r="L16" s="6">
        <f>(H16*$H$5)+(I16*$I$5)+((J16+K16)*$J$5)</f>
        <v>0</v>
      </c>
    </row>
    <row r="17" spans="2:12" x14ac:dyDescent="0.25">
      <c r="H17" s="4"/>
      <c r="I17" s="4"/>
      <c r="J17" s="4"/>
      <c r="K17" s="4"/>
      <c r="L17" s="4"/>
    </row>
    <row r="18" spans="2:12" x14ac:dyDescent="0.25">
      <c r="C18" t="s">
        <v>41</v>
      </c>
      <c r="H18" s="5">
        <f>SUM(H13:H16)</f>
        <v>901.4</v>
      </c>
      <c r="I18" s="5">
        <f t="shared" ref="I18:L18" si="3">SUM(I13:I16)</f>
        <v>671</v>
      </c>
      <c r="J18" s="5">
        <f t="shared" si="3"/>
        <v>483.50000000000006</v>
      </c>
      <c r="K18" s="5">
        <f t="shared" ref="K18" si="4">SUM(K13:K16)</f>
        <v>434.7</v>
      </c>
      <c r="L18" s="5">
        <f t="shared" si="3"/>
        <v>825.8</v>
      </c>
    </row>
    <row r="20" spans="2:12" x14ac:dyDescent="0.25">
      <c r="B20" t="s">
        <v>24</v>
      </c>
      <c r="H20" s="24"/>
      <c r="I20" s="24"/>
      <c r="J20" s="24"/>
      <c r="K20" s="24"/>
      <c r="L20" s="23"/>
    </row>
    <row r="21" spans="2:12" x14ac:dyDescent="0.25">
      <c r="H21" s="33" t="s">
        <v>58</v>
      </c>
      <c r="I21" s="33"/>
      <c r="J21" s="33"/>
      <c r="K21" s="33"/>
      <c r="L21" s="23"/>
    </row>
    <row r="22" spans="2:12" x14ac:dyDescent="0.25">
      <c r="C22" t="s">
        <v>11</v>
      </c>
      <c r="H22" s="18">
        <v>221</v>
      </c>
      <c r="I22" s="18">
        <v>94</v>
      </c>
      <c r="J22" s="18">
        <v>148</v>
      </c>
      <c r="K22" s="18">
        <v>64</v>
      </c>
      <c r="L22" s="5">
        <f>(H22*$H$5)+(I22*$I$5)+((J22+K22)*$J$5)</f>
        <v>173.85</v>
      </c>
    </row>
    <row r="23" spans="2:12" x14ac:dyDescent="0.25">
      <c r="C23" t="s">
        <v>12</v>
      </c>
      <c r="H23" s="20">
        <v>124</v>
      </c>
      <c r="I23" s="20">
        <v>74</v>
      </c>
      <c r="J23" s="20">
        <v>44</v>
      </c>
      <c r="K23" s="20">
        <v>86</v>
      </c>
      <c r="L23" s="6">
        <f>(H23*$H$5)+(I23*$I$5)+((J23+K23)*$J$5)</f>
        <v>108.3</v>
      </c>
    </row>
    <row r="24" spans="2:12" x14ac:dyDescent="0.25">
      <c r="C24" t="s">
        <v>13</v>
      </c>
      <c r="H24" s="20">
        <v>110</v>
      </c>
      <c r="I24" s="20">
        <v>70</v>
      </c>
      <c r="J24" s="20">
        <v>45</v>
      </c>
      <c r="K24" s="20">
        <v>63</v>
      </c>
      <c r="L24" s="6">
        <f t="shared" ref="L24:L32" si="5">(H24*$H$5)+(I24*$I$5)+((J24+K24)*$J$5)</f>
        <v>95.4</v>
      </c>
    </row>
    <row r="25" spans="2:12" x14ac:dyDescent="0.25">
      <c r="C25" t="s">
        <v>14</v>
      </c>
      <c r="H25" s="20">
        <v>39</v>
      </c>
      <c r="I25" s="20">
        <v>0</v>
      </c>
      <c r="J25" s="20">
        <v>0</v>
      </c>
      <c r="K25" s="20">
        <v>5</v>
      </c>
      <c r="L25" s="6">
        <f t="shared" si="5"/>
        <v>15.149999999999999</v>
      </c>
    </row>
    <row r="26" spans="2:12" x14ac:dyDescent="0.25">
      <c r="C26" t="s">
        <v>15</v>
      </c>
      <c r="H26" s="20">
        <v>21</v>
      </c>
      <c r="I26" s="20">
        <v>13</v>
      </c>
      <c r="J26" s="20">
        <v>13</v>
      </c>
      <c r="K26" s="20">
        <v>9</v>
      </c>
      <c r="L26" s="6">
        <f t="shared" si="5"/>
        <v>18.5</v>
      </c>
    </row>
    <row r="27" spans="2:12" x14ac:dyDescent="0.25">
      <c r="C27" t="s">
        <v>16</v>
      </c>
      <c r="H27" s="20">
        <v>45</v>
      </c>
      <c r="I27" s="20">
        <v>40</v>
      </c>
      <c r="J27" s="20">
        <v>40</v>
      </c>
      <c r="K27" s="20">
        <v>40</v>
      </c>
      <c r="L27" s="6">
        <f t="shared" si="5"/>
        <v>53.75</v>
      </c>
    </row>
    <row r="28" spans="2:12" x14ac:dyDescent="0.25">
      <c r="C28" t="s">
        <v>43</v>
      </c>
      <c r="G28" s="30">
        <v>0.105</v>
      </c>
      <c r="H28" s="16">
        <f>H6*$G$28</f>
        <v>20.79</v>
      </c>
      <c r="I28" s="16">
        <f t="shared" ref="I28:K28" si="6">I6*$G$28</f>
        <v>6.3</v>
      </c>
      <c r="J28" s="16">
        <f t="shared" si="6"/>
        <v>8.9249999999999989</v>
      </c>
      <c r="K28" s="16">
        <f t="shared" si="6"/>
        <v>4.41</v>
      </c>
      <c r="L28" s="6">
        <f t="shared" si="5"/>
        <v>13.481999999999999</v>
      </c>
    </row>
    <row r="29" spans="2:12" x14ac:dyDescent="0.25">
      <c r="C29" t="s">
        <v>57</v>
      </c>
      <c r="G29" s="21">
        <v>7.4999999999999997E-2</v>
      </c>
      <c r="H29" s="16">
        <f>((SUM(H22:H24)*0.75)+(SUM(H26:H27)*0.25)+(H32*0.5))*$G$29</f>
        <v>27.581250000000001</v>
      </c>
      <c r="I29" s="16">
        <f>((SUM(I22:I24)*0.75)+(SUM(I26:I27)*0.25)+(I32*0.5))*$G$29</f>
        <v>14.75625</v>
      </c>
      <c r="J29" s="16">
        <f>((SUM(J22:J24)*0.75)+(SUM(J26:J27)*0.25)+(J32*0.5))*$G$29</f>
        <v>14.8125</v>
      </c>
      <c r="K29" s="16">
        <f>((SUM(K22:K24)*0.75)+(SUM(K26:K27)*0.25)+(K32*0.5))*$G$29</f>
        <v>13.275</v>
      </c>
      <c r="L29" s="6">
        <f t="shared" si="5"/>
        <v>23.244374999999998</v>
      </c>
    </row>
    <row r="30" spans="2:12" x14ac:dyDescent="0.25">
      <c r="C30" t="s">
        <v>4</v>
      </c>
      <c r="H30" s="20">
        <v>20</v>
      </c>
      <c r="I30" s="20">
        <v>20</v>
      </c>
      <c r="J30" s="20">
        <v>0</v>
      </c>
      <c r="K30" s="20">
        <v>0</v>
      </c>
      <c r="L30" s="6">
        <f t="shared" si="5"/>
        <v>14</v>
      </c>
    </row>
    <row r="31" spans="2:12" x14ac:dyDescent="0.25">
      <c r="C31" t="s">
        <v>44</v>
      </c>
      <c r="H31" s="20">
        <v>10</v>
      </c>
      <c r="I31" s="20">
        <v>10</v>
      </c>
      <c r="J31" s="20">
        <v>17</v>
      </c>
      <c r="K31" s="20">
        <v>0</v>
      </c>
      <c r="L31" s="6">
        <f t="shared" si="5"/>
        <v>12.1</v>
      </c>
    </row>
    <row r="32" spans="2:12" x14ac:dyDescent="0.25">
      <c r="C32" t="s">
        <v>18</v>
      </c>
      <c r="H32" s="20">
        <v>20</v>
      </c>
      <c r="I32" s="20">
        <v>10</v>
      </c>
      <c r="J32" s="20">
        <v>13</v>
      </c>
      <c r="K32" s="20">
        <v>10</v>
      </c>
      <c r="L32" s="6">
        <f t="shared" si="5"/>
        <v>17.399999999999999</v>
      </c>
    </row>
    <row r="34" spans="3:12" x14ac:dyDescent="0.25">
      <c r="C34" t="s">
        <v>47</v>
      </c>
      <c r="H34" s="5">
        <f>SUM(H22:H32)</f>
        <v>658.37124999999992</v>
      </c>
      <c r="I34" s="5">
        <f>SUM(I22:I32)</f>
        <v>352.05625000000003</v>
      </c>
      <c r="J34" s="5">
        <f>SUM(J22:J32)</f>
        <v>343.73750000000001</v>
      </c>
      <c r="K34" s="5">
        <f>SUM(K22:K32)</f>
        <v>294.685</v>
      </c>
      <c r="L34" s="5">
        <f>SUM(L22:L32)</f>
        <v>545.17637499999989</v>
      </c>
    </row>
    <row r="36" spans="3:12" x14ac:dyDescent="0.25">
      <c r="C36" t="s">
        <v>48</v>
      </c>
      <c r="H36" s="7">
        <f>H18-SUM(H22:H32)</f>
        <v>243.02875000000006</v>
      </c>
      <c r="I36" s="7">
        <f>I18-SUM(I22:I32)</f>
        <v>318.94374999999997</v>
      </c>
      <c r="J36" s="7">
        <f>J18-SUM(J22:J32)</f>
        <v>139.76250000000005</v>
      </c>
      <c r="K36" s="7">
        <f>K18-SUM(K22:K32)</f>
        <v>140.01499999999999</v>
      </c>
      <c r="L36" s="7">
        <f>L18-SUM(L22:L32)</f>
        <v>280.62362500000006</v>
      </c>
    </row>
    <row r="38" spans="3:12" x14ac:dyDescent="0.25">
      <c r="C38" t="s">
        <v>49</v>
      </c>
      <c r="H38" s="18">
        <v>62</v>
      </c>
      <c r="I38" s="18">
        <v>62</v>
      </c>
      <c r="J38" s="18">
        <v>62</v>
      </c>
      <c r="K38" s="18">
        <v>0</v>
      </c>
      <c r="L38" s="5">
        <f>(H38*$H$5)+(I38*$I$5)+((J38+K38)*$J$5)</f>
        <v>62</v>
      </c>
    </row>
    <row r="39" spans="3:12" x14ac:dyDescent="0.25">
      <c r="C39" t="s">
        <v>59</v>
      </c>
      <c r="H39" s="20">
        <v>35</v>
      </c>
      <c r="I39" s="20">
        <v>35</v>
      </c>
      <c r="J39" s="20">
        <v>35</v>
      </c>
      <c r="K39" s="20">
        <v>0</v>
      </c>
      <c r="L39" s="6">
        <f>(H39*$H$5)+(I39*$I$5)+((J39+K39)*$J$5)</f>
        <v>35</v>
      </c>
    </row>
    <row r="40" spans="3:12" x14ac:dyDescent="0.25">
      <c r="C40" t="s">
        <v>45</v>
      </c>
      <c r="H40" s="20">
        <v>16</v>
      </c>
      <c r="I40" s="20">
        <v>16</v>
      </c>
      <c r="J40" s="20">
        <v>16</v>
      </c>
      <c r="K40" s="20">
        <v>0</v>
      </c>
      <c r="L40" s="6">
        <f>(H40*$H$5)+(I40*$I$5)+((J40+K40)*$J$5)</f>
        <v>16</v>
      </c>
    </row>
    <row r="41" spans="3:12" x14ac:dyDescent="0.25">
      <c r="C41" t="s">
        <v>46</v>
      </c>
      <c r="H41" s="20">
        <v>25</v>
      </c>
      <c r="I41" s="20">
        <v>25</v>
      </c>
      <c r="J41" s="20">
        <v>25</v>
      </c>
      <c r="K41" s="20">
        <v>0</v>
      </c>
      <c r="L41" s="6">
        <f>(H41*$H$5)+(I41*$I$5)+((J41+K41)*$J$5)</f>
        <v>25</v>
      </c>
    </row>
    <row r="42" spans="3:12" x14ac:dyDescent="0.25">
      <c r="C42" t="s">
        <v>19</v>
      </c>
      <c r="H42" s="20">
        <v>261</v>
      </c>
      <c r="I42" s="20">
        <v>261</v>
      </c>
      <c r="J42" s="20">
        <v>261</v>
      </c>
      <c r="K42" s="20">
        <v>0</v>
      </c>
      <c r="L42" s="6">
        <f>(H42*$H$5)+(I42*$I$5)+((J42+K42)*$J$5)</f>
        <v>261</v>
      </c>
    </row>
    <row r="44" spans="3:12" x14ac:dyDescent="0.25">
      <c r="C44" t="s">
        <v>53</v>
      </c>
      <c r="H44" s="5">
        <f>SUM(H38:H42)</f>
        <v>399</v>
      </c>
      <c r="I44" s="5">
        <f t="shared" ref="I44:L44" si="7">SUM(I38:I42)</f>
        <v>399</v>
      </c>
      <c r="J44" s="5">
        <f t="shared" si="7"/>
        <v>399</v>
      </c>
      <c r="K44" s="5">
        <f t="shared" si="7"/>
        <v>0</v>
      </c>
      <c r="L44" s="5">
        <f t="shared" si="7"/>
        <v>399</v>
      </c>
    </row>
    <row r="46" spans="3:12" x14ac:dyDescent="0.25">
      <c r="C46" t="s">
        <v>54</v>
      </c>
      <c r="H46" s="5">
        <f>SUM(H34, H44)</f>
        <v>1057.3712499999999</v>
      </c>
      <c r="I46" s="5">
        <f t="shared" ref="I46:L46" si="8">SUM(I34, I44)</f>
        <v>751.05625000000009</v>
      </c>
      <c r="J46" s="5">
        <f t="shared" si="8"/>
        <v>742.73749999999995</v>
      </c>
      <c r="K46" s="5">
        <f t="shared" si="8"/>
        <v>294.685</v>
      </c>
      <c r="L46" s="5">
        <f t="shared" si="8"/>
        <v>944.17637499999989</v>
      </c>
    </row>
    <row r="48" spans="3:12" x14ac:dyDescent="0.25">
      <c r="C48" t="s">
        <v>55</v>
      </c>
      <c r="H48" s="7">
        <f>H18-H46</f>
        <v>-155.97124999999994</v>
      </c>
      <c r="I48" s="7">
        <f>I18-I46</f>
        <v>-80.056250000000091</v>
      </c>
      <c r="J48" s="7">
        <f>J18-J46</f>
        <v>-259.2374999999999</v>
      </c>
      <c r="K48" s="7">
        <f>K18-K46</f>
        <v>140.01499999999999</v>
      </c>
      <c r="L48" s="7">
        <f>L18-L46</f>
        <v>-118.37637499999994</v>
      </c>
    </row>
    <row r="50" spans="3:11" x14ac:dyDescent="0.25">
      <c r="C50" t="s">
        <v>50</v>
      </c>
      <c r="H50" s="5">
        <f>H46/H6</f>
        <v>5.3402588383838383</v>
      </c>
      <c r="I50" s="5">
        <f>I46/I6</f>
        <v>12.517604166666668</v>
      </c>
      <c r="J50" s="5">
        <f>J46/J6</f>
        <v>8.7380882352941178</v>
      </c>
      <c r="K50" s="5">
        <f>K46/K6</f>
        <v>7.0163095238095234</v>
      </c>
    </row>
  </sheetData>
  <sheetProtection sheet="1" objects="1" scenarios="1"/>
  <mergeCells count="3">
    <mergeCell ref="H11:K11"/>
    <mergeCell ref="H12:K12"/>
    <mergeCell ref="H21:K21"/>
  </mergeCells>
  <conditionalFormatting sqref="H48">
    <cfRule type="cellIs" dxfId="13" priority="8" operator="greaterThan">
      <formula>0</formula>
    </cfRule>
    <cfRule type="cellIs" dxfId="12" priority="9" operator="lessThan">
      <formula>0</formula>
    </cfRule>
    <cfRule type="cellIs" dxfId="11" priority="10" operator="greaterThan">
      <formula>0</formula>
    </cfRule>
  </conditionalFormatting>
  <conditionalFormatting sqref="I48:K48">
    <cfRule type="cellIs" dxfId="10" priority="5" operator="greaterThan">
      <formula>0</formula>
    </cfRule>
    <cfRule type="cellIs" dxfId="9" priority="6" operator="lessThan">
      <formula>0</formula>
    </cfRule>
    <cfRule type="cellIs" dxfId="8" priority="7" operator="greaterThan">
      <formula>0</formula>
    </cfRule>
  </conditionalFormatting>
  <conditionalFormatting sqref="L48">
    <cfRule type="cellIs" dxfId="7" priority="2" operator="greaterThan">
      <formula>0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conditionalFormatting sqref="G5">
    <cfRule type="cellIs" dxfId="4" priority="1" operator="greaterThan">
      <formula>1</formula>
    </cfRule>
  </conditionalFormatting>
  <pageMargins left="0.7" right="0.7" top="0.75" bottom="0.75" header="0.3" footer="0.3"/>
  <pageSetup orientation="portrait" r:id="rId1"/>
  <ignoredErrors>
    <ignoredError sqref="J50:K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3"/>
  <sheetViews>
    <sheetView tabSelected="1" topLeftCell="A23" zoomScale="150" zoomScaleNormal="150" workbookViewId="0">
      <selection activeCell="A38" sqref="A38"/>
    </sheetView>
  </sheetViews>
  <sheetFormatPr defaultRowHeight="15" x14ac:dyDescent="0.25"/>
  <cols>
    <col min="4" max="4" width="12.7109375" customWidth="1"/>
  </cols>
  <sheetData>
    <row r="1" spans="1:10" x14ac:dyDescent="0.25">
      <c r="A1" s="8" t="s">
        <v>52</v>
      </c>
    </row>
    <row r="3" spans="1:10" x14ac:dyDescent="0.25">
      <c r="B3" s="10" t="s">
        <v>62</v>
      </c>
    </row>
    <row r="5" spans="1:10" x14ac:dyDescent="0.25">
      <c r="B5" t="s">
        <v>63</v>
      </c>
      <c r="G5" s="27">
        <v>1500</v>
      </c>
    </row>
    <row r="6" spans="1:10" x14ac:dyDescent="0.25">
      <c r="B6" t="s">
        <v>64</v>
      </c>
      <c r="G6" s="28">
        <v>0.1</v>
      </c>
    </row>
    <row r="8" spans="1:10" x14ac:dyDescent="0.25">
      <c r="B8" s="10" t="s">
        <v>69</v>
      </c>
    </row>
    <row r="9" spans="1:10" x14ac:dyDescent="0.25">
      <c r="F9" s="34" t="s">
        <v>26</v>
      </c>
      <c r="G9" s="34"/>
      <c r="H9" s="34"/>
      <c r="I9" s="34"/>
      <c r="J9" s="34"/>
    </row>
    <row r="10" spans="1:10" x14ac:dyDescent="0.25">
      <c r="D10" s="12" t="s">
        <v>22</v>
      </c>
      <c r="E10" s="13"/>
      <c r="F10" s="13">
        <v>2026</v>
      </c>
      <c r="G10" s="13">
        <v>2027</v>
      </c>
      <c r="H10" s="13">
        <v>2028</v>
      </c>
      <c r="I10" s="13">
        <v>2029</v>
      </c>
      <c r="J10" s="13">
        <v>2030</v>
      </c>
    </row>
    <row r="12" spans="1:10" x14ac:dyDescent="0.25">
      <c r="B12" t="s">
        <v>7</v>
      </c>
      <c r="D12" s="22">
        <v>2</v>
      </c>
      <c r="F12" s="6">
        <f>Budgets!$H$6</f>
        <v>198</v>
      </c>
      <c r="G12" s="6">
        <f>F12+$D$12</f>
        <v>200</v>
      </c>
      <c r="H12" s="6">
        <f t="shared" ref="H12:J12" si="0">G12+$D$12</f>
        <v>202</v>
      </c>
      <c r="I12" s="6">
        <f t="shared" si="0"/>
        <v>204</v>
      </c>
      <c r="J12" s="6">
        <f t="shared" si="0"/>
        <v>206</v>
      </c>
    </row>
    <row r="13" spans="1:10" x14ac:dyDescent="0.25">
      <c r="B13" t="s">
        <v>8</v>
      </c>
      <c r="D13" s="22">
        <v>0.5</v>
      </c>
      <c r="F13" s="6">
        <f>Budgets!$I$6</f>
        <v>60</v>
      </c>
      <c r="G13" s="6">
        <f>F13+$D$13</f>
        <v>60.5</v>
      </c>
      <c r="H13" s="6">
        <f>G13+$D$13</f>
        <v>61</v>
      </c>
      <c r="I13" s="6">
        <f>H13+$D$13</f>
        <v>61.5</v>
      </c>
      <c r="J13" s="6">
        <f>I13+$D$13</f>
        <v>62</v>
      </c>
    </row>
    <row r="14" spans="1:10" x14ac:dyDescent="0.25">
      <c r="B14" t="s">
        <v>9</v>
      </c>
      <c r="D14" s="22">
        <v>1</v>
      </c>
      <c r="F14" s="6">
        <f>Budgets!$J$6</f>
        <v>85</v>
      </c>
      <c r="G14" s="6">
        <f>F14+$D$14</f>
        <v>86</v>
      </c>
      <c r="H14" s="6">
        <f>G14+$D$14</f>
        <v>87</v>
      </c>
      <c r="I14" s="6">
        <f>H14+$D$14</f>
        <v>88</v>
      </c>
      <c r="J14" s="6">
        <f>I14+$D$14</f>
        <v>89</v>
      </c>
    </row>
    <row r="15" spans="1:10" x14ac:dyDescent="0.25">
      <c r="B15" t="s">
        <v>17</v>
      </c>
      <c r="D15" s="22">
        <v>0.35</v>
      </c>
      <c r="F15" s="6">
        <f>Budgets!$K$6</f>
        <v>42</v>
      </c>
      <c r="G15" s="6">
        <f>F15+$D$15</f>
        <v>42.35</v>
      </c>
      <c r="H15" s="6">
        <f>G15+$D$15</f>
        <v>42.7</v>
      </c>
      <c r="I15" s="6">
        <f>H15+$D$15</f>
        <v>43.050000000000004</v>
      </c>
      <c r="J15" s="6">
        <f>I15+$D$15</f>
        <v>43.400000000000006</v>
      </c>
    </row>
    <row r="18" spans="2:10" x14ac:dyDescent="0.25">
      <c r="B18" s="10" t="s">
        <v>51</v>
      </c>
    </row>
    <row r="19" spans="2:10" x14ac:dyDescent="0.25">
      <c r="B19" s="10"/>
      <c r="F19" s="34" t="s">
        <v>25</v>
      </c>
      <c r="G19" s="34"/>
      <c r="H19" s="34"/>
      <c r="I19" s="34"/>
      <c r="J19" s="34"/>
    </row>
    <row r="20" spans="2:10" x14ac:dyDescent="0.25">
      <c r="B20" s="10"/>
      <c r="F20" s="13">
        <v>2026</v>
      </c>
      <c r="G20" s="13">
        <v>2027</v>
      </c>
      <c r="H20" s="13">
        <v>2028</v>
      </c>
      <c r="I20" s="13">
        <v>2029</v>
      </c>
      <c r="J20" s="13">
        <v>2030</v>
      </c>
    </row>
    <row r="22" spans="2:10" x14ac:dyDescent="0.25">
      <c r="B22" t="s">
        <v>7</v>
      </c>
      <c r="F22" s="5">
        <f>Budgets!$H$9</f>
        <v>4.3</v>
      </c>
      <c r="G22" s="18">
        <v>4.7</v>
      </c>
      <c r="H22" s="18">
        <v>4.7</v>
      </c>
      <c r="I22" s="18">
        <v>4.7</v>
      </c>
      <c r="J22" s="18">
        <v>4.7</v>
      </c>
    </row>
    <row r="23" spans="2:10" x14ac:dyDescent="0.25">
      <c r="B23" t="s">
        <v>8</v>
      </c>
      <c r="F23" s="5">
        <f>Budgets!$I$9</f>
        <v>10.35</v>
      </c>
      <c r="G23" s="18">
        <v>11.35</v>
      </c>
      <c r="H23" s="18">
        <v>11.35</v>
      </c>
      <c r="I23" s="18">
        <v>11.35</v>
      </c>
      <c r="J23" s="18">
        <v>11.35</v>
      </c>
    </row>
    <row r="24" spans="2:10" x14ac:dyDescent="0.25">
      <c r="B24" t="s">
        <v>9</v>
      </c>
      <c r="F24" s="5">
        <f>Budgets!$J$9</f>
        <v>5.1000000000000005</v>
      </c>
      <c r="G24" s="18">
        <v>5.8</v>
      </c>
      <c r="H24" s="18">
        <v>5.8</v>
      </c>
      <c r="I24" s="18">
        <v>5.8</v>
      </c>
      <c r="J24" s="18">
        <v>5.8</v>
      </c>
    </row>
    <row r="25" spans="2:10" x14ac:dyDescent="0.25">
      <c r="B25" t="s">
        <v>17</v>
      </c>
      <c r="F25" s="5">
        <f>Budgets!$K$9</f>
        <v>10.35</v>
      </c>
      <c r="G25" s="18">
        <v>11.35</v>
      </c>
      <c r="H25" s="18">
        <v>11.35</v>
      </c>
      <c r="I25" s="18">
        <v>11.35</v>
      </c>
      <c r="J25" s="18">
        <v>11.35</v>
      </c>
    </row>
    <row r="28" spans="2:10" x14ac:dyDescent="0.25">
      <c r="B28" s="10" t="s">
        <v>31</v>
      </c>
    </row>
    <row r="29" spans="2:10" x14ac:dyDescent="0.25">
      <c r="B29" s="10"/>
      <c r="D29" s="9"/>
      <c r="F29" s="34" t="s">
        <v>60</v>
      </c>
      <c r="G29" s="34"/>
      <c r="H29" s="34"/>
      <c r="I29" s="34"/>
      <c r="J29" s="34"/>
    </row>
    <row r="30" spans="2:10" x14ac:dyDescent="0.25">
      <c r="B30" s="10"/>
      <c r="D30" s="12" t="s">
        <v>23</v>
      </c>
      <c r="E30" s="13"/>
      <c r="F30" s="13">
        <v>2026</v>
      </c>
      <c r="G30" s="13">
        <v>2027</v>
      </c>
      <c r="H30" s="13">
        <v>2028</v>
      </c>
      <c r="I30" s="13">
        <v>2029</v>
      </c>
      <c r="J30" s="13">
        <v>2030</v>
      </c>
    </row>
    <row r="32" spans="2:10" x14ac:dyDescent="0.25">
      <c r="B32" t="s">
        <v>7</v>
      </c>
      <c r="D32" s="21">
        <v>0</v>
      </c>
      <c r="F32" s="5">
        <f>Budgets!$H$46-Budgets!$H$42</f>
        <v>796.37124999999992</v>
      </c>
      <c r="G32" s="5">
        <f>F32*(1+D32)</f>
        <v>796.37124999999992</v>
      </c>
      <c r="H32" s="5">
        <f>F32*(1+D32)^2</f>
        <v>796.37124999999992</v>
      </c>
      <c r="I32" s="5">
        <f>F32*(1+D32)^3</f>
        <v>796.37124999999992</v>
      </c>
      <c r="J32" s="5">
        <f>F32*(1+D32)^4</f>
        <v>796.37124999999992</v>
      </c>
    </row>
    <row r="33" spans="2:10" x14ac:dyDescent="0.25">
      <c r="B33" t="s">
        <v>8</v>
      </c>
      <c r="D33" s="21">
        <v>0</v>
      </c>
      <c r="F33" s="5">
        <f>Budgets!$I$46-Budgets!$I$42</f>
        <v>490.05625000000009</v>
      </c>
      <c r="G33" s="5">
        <f t="shared" ref="G33:G35" si="1">F33*(1+D33)</f>
        <v>490.05625000000009</v>
      </c>
      <c r="H33" s="5">
        <f t="shared" ref="H33:H35" si="2">F33*(1+D33)^2</f>
        <v>490.05625000000009</v>
      </c>
      <c r="I33" s="5">
        <f t="shared" ref="I33:I35" si="3">F33*(1+D33)^3</f>
        <v>490.05625000000009</v>
      </c>
      <c r="J33" s="5">
        <f t="shared" ref="J33:J35" si="4">F33*(1+D33)^4</f>
        <v>490.05625000000009</v>
      </c>
    </row>
    <row r="34" spans="2:10" x14ac:dyDescent="0.25">
      <c r="B34" t="s">
        <v>9</v>
      </c>
      <c r="D34" s="21">
        <v>0</v>
      </c>
      <c r="F34" s="5">
        <f>Budgets!$J$46-Budgets!$J$42</f>
        <v>481.73749999999995</v>
      </c>
      <c r="G34" s="5">
        <f t="shared" si="1"/>
        <v>481.73749999999995</v>
      </c>
      <c r="H34" s="5">
        <f t="shared" si="2"/>
        <v>481.73749999999995</v>
      </c>
      <c r="I34" s="5">
        <f t="shared" si="3"/>
        <v>481.73749999999995</v>
      </c>
      <c r="J34" s="5">
        <f t="shared" si="4"/>
        <v>481.73749999999995</v>
      </c>
    </row>
    <row r="35" spans="2:10" x14ac:dyDescent="0.25">
      <c r="B35" t="s">
        <v>17</v>
      </c>
      <c r="D35" s="21">
        <v>0</v>
      </c>
      <c r="F35" s="5">
        <f>Budgets!$K$46-Budgets!$K$42</f>
        <v>294.685</v>
      </c>
      <c r="G35" s="5">
        <f t="shared" si="1"/>
        <v>294.685</v>
      </c>
      <c r="H35" s="5">
        <f t="shared" si="2"/>
        <v>294.685</v>
      </c>
      <c r="I35" s="5">
        <f t="shared" si="3"/>
        <v>294.685</v>
      </c>
      <c r="J35" s="5">
        <f t="shared" si="4"/>
        <v>294.685</v>
      </c>
    </row>
    <row r="38" spans="2:10" x14ac:dyDescent="0.25">
      <c r="B38" s="10" t="s">
        <v>30</v>
      </c>
    </row>
    <row r="39" spans="2:10" x14ac:dyDescent="0.25">
      <c r="F39" s="34" t="s">
        <v>29</v>
      </c>
      <c r="G39" s="34"/>
      <c r="H39" s="34"/>
      <c r="I39" s="34"/>
      <c r="J39" s="34"/>
    </row>
    <row r="40" spans="2:10" x14ac:dyDescent="0.25">
      <c r="F40" s="13">
        <v>2026</v>
      </c>
      <c r="G40" s="13">
        <v>2027</v>
      </c>
      <c r="H40" s="13">
        <v>2028</v>
      </c>
      <c r="I40" s="13">
        <v>2029</v>
      </c>
      <c r="J40" s="13">
        <v>2030</v>
      </c>
    </row>
    <row r="42" spans="2:10" x14ac:dyDescent="0.25">
      <c r="B42" t="s">
        <v>2</v>
      </c>
      <c r="F42" s="5">
        <f>Budgets!$L$13</f>
        <v>775.8</v>
      </c>
      <c r="G42" s="5">
        <f>(G12*G22*Budgets!$H$5)+(G13*G23*Budgets!$I$5)+((G14*G24)+(G15*G25))*Budgets!$J$5</f>
        <v>863.17799999999988</v>
      </c>
      <c r="H42" s="5">
        <f>(H12*H22*Budgets!$H$5)+(H13*H23*Budgets!$I$5)+((H14*H24)+(H15*H25))*Budgets!$J$5</f>
        <v>871.38599999999997</v>
      </c>
      <c r="I42" s="5">
        <f>(I12*I22*Budgets!$H$5)+(I13*I23*Budgets!$I$5)+((I14*I24)+(I15*I25))*Budgets!$J$5</f>
        <v>879.59399999999994</v>
      </c>
      <c r="J42" s="5">
        <f>(J12*J22*Budgets!$H$5)+(J13*J23*Budgets!$I$5)+((J14*J24)+(J15*J25))*Budgets!$J$5</f>
        <v>887.80199999999991</v>
      </c>
    </row>
    <row r="43" spans="2:10" x14ac:dyDescent="0.25">
      <c r="B43" t="s">
        <v>3</v>
      </c>
      <c r="F43" s="11">
        <f>Budgets!$L$14</f>
        <v>50</v>
      </c>
      <c r="G43" s="20">
        <v>0</v>
      </c>
      <c r="H43" s="20">
        <v>0</v>
      </c>
      <c r="I43" s="20">
        <v>0</v>
      </c>
      <c r="J43" s="20">
        <v>0</v>
      </c>
    </row>
    <row r="44" spans="2:10" x14ac:dyDescent="0.25">
      <c r="B44" t="s">
        <v>39</v>
      </c>
      <c r="F44" s="11">
        <f>Budgets!$L$15</f>
        <v>0</v>
      </c>
      <c r="G44" s="20">
        <v>0</v>
      </c>
      <c r="H44" s="20">
        <v>0</v>
      </c>
      <c r="I44" s="20">
        <v>0</v>
      </c>
      <c r="J44" s="20">
        <v>0</v>
      </c>
    </row>
    <row r="45" spans="2:10" x14ac:dyDescent="0.25">
      <c r="B45" t="s">
        <v>5</v>
      </c>
      <c r="F45" s="11">
        <f>Budgets!$L$16</f>
        <v>0</v>
      </c>
      <c r="G45" s="20">
        <v>0</v>
      </c>
      <c r="H45" s="20">
        <v>0</v>
      </c>
      <c r="I45" s="20">
        <v>0</v>
      </c>
      <c r="J45" s="20">
        <v>0</v>
      </c>
    </row>
    <row r="46" spans="2:10" x14ac:dyDescent="0.25">
      <c r="B46" t="s">
        <v>6</v>
      </c>
      <c r="F46" s="5">
        <f>SUM(F42:F45)</f>
        <v>825.8</v>
      </c>
      <c r="G46" s="5">
        <f t="shared" ref="G46:J46" si="5">SUM(G42:G45)</f>
        <v>863.17799999999988</v>
      </c>
      <c r="H46" s="5">
        <f t="shared" si="5"/>
        <v>871.38599999999997</v>
      </c>
      <c r="I46" s="5">
        <f t="shared" si="5"/>
        <v>879.59399999999994</v>
      </c>
      <c r="J46" s="5">
        <f t="shared" si="5"/>
        <v>887.80199999999991</v>
      </c>
    </row>
    <row r="48" spans="2:10" x14ac:dyDescent="0.25">
      <c r="B48" t="s">
        <v>32</v>
      </c>
      <c r="F48" s="5">
        <f>(F32*Budgets!$H$5)+(F33*Budgets!$I$5)+((F34)+(F35))*Budgets!$J$5</f>
        <v>683.17637500000001</v>
      </c>
      <c r="G48" s="5">
        <f>(G32*Budgets!$H$5)+(G33*Budgets!$I$5)+((G34)+(G35))*Budgets!$J$5</f>
        <v>683.17637500000001</v>
      </c>
      <c r="H48" s="5">
        <f>(H32*Budgets!$H$5)+(H33*Budgets!$I$5)+((H34)+(H35))*Budgets!$J$5</f>
        <v>683.17637500000001</v>
      </c>
      <c r="I48" s="5">
        <f>(I32*Budgets!$H$5)+(I33*Budgets!$I$5)+((I34)+(I35))*Budgets!$J$5</f>
        <v>683.17637500000001</v>
      </c>
      <c r="J48" s="5">
        <f>(J32*Budgets!$H$5)+(J33*Budgets!$I$5)+((J34)+(J35))*Budgets!$J$5</f>
        <v>683.17637500000001</v>
      </c>
    </row>
    <row r="49" spans="2:12" x14ac:dyDescent="0.25">
      <c r="B49" t="s">
        <v>33</v>
      </c>
      <c r="F49" s="5">
        <f>Budgets!$L$42</f>
        <v>261</v>
      </c>
      <c r="G49" s="18">
        <v>261</v>
      </c>
      <c r="H49" s="18">
        <v>261</v>
      </c>
      <c r="I49" s="18">
        <v>261</v>
      </c>
      <c r="J49" s="18">
        <v>261</v>
      </c>
    </row>
    <row r="50" spans="2:12" x14ac:dyDescent="0.25">
      <c r="B50" t="s">
        <v>21</v>
      </c>
      <c r="F50" s="5">
        <f>SUM(F48:F49)</f>
        <v>944.17637500000001</v>
      </c>
      <c r="G50" s="5">
        <f t="shared" ref="G50:J50" si="6">SUM(G48:G49)</f>
        <v>944.17637500000001</v>
      </c>
      <c r="H50" s="5">
        <f t="shared" si="6"/>
        <v>944.17637500000001</v>
      </c>
      <c r="I50" s="5">
        <f t="shared" si="6"/>
        <v>944.17637500000001</v>
      </c>
      <c r="J50" s="5">
        <f t="shared" si="6"/>
        <v>944.17637500000001</v>
      </c>
    </row>
    <row r="52" spans="2:12" x14ac:dyDescent="0.25">
      <c r="B52" t="s">
        <v>20</v>
      </c>
      <c r="F52" s="3">
        <f>F46-F50</f>
        <v>-118.37637500000005</v>
      </c>
      <c r="G52" s="3">
        <f t="shared" ref="G52:J52" si="7">G46-G50</f>
        <v>-80.998375000000124</v>
      </c>
      <c r="H52" s="3">
        <f t="shared" si="7"/>
        <v>-72.79037500000004</v>
      </c>
      <c r="I52" s="3">
        <f t="shared" si="7"/>
        <v>-64.58237500000007</v>
      </c>
      <c r="J52" s="3">
        <f t="shared" si="7"/>
        <v>-56.3743750000001</v>
      </c>
      <c r="L52" s="3"/>
    </row>
    <row r="55" spans="2:12" x14ac:dyDescent="0.25">
      <c r="B55" s="10" t="s">
        <v>27</v>
      </c>
    </row>
    <row r="57" spans="2:12" x14ac:dyDescent="0.25">
      <c r="F57" s="13">
        <v>2026</v>
      </c>
      <c r="G57" s="13">
        <v>2027</v>
      </c>
      <c r="H57" s="13">
        <v>2028</v>
      </c>
      <c r="I57" s="13">
        <v>2029</v>
      </c>
      <c r="J57" s="13">
        <v>2030</v>
      </c>
    </row>
    <row r="59" spans="2:12" x14ac:dyDescent="0.25">
      <c r="B59" t="s">
        <v>70</v>
      </c>
      <c r="F59" s="5">
        <f>F49+F52</f>
        <v>142.62362499999995</v>
      </c>
      <c r="G59" s="5">
        <f t="shared" ref="G59:J59" si="8">G49+G52</f>
        <v>180.00162499999988</v>
      </c>
      <c r="H59" s="5">
        <f t="shared" si="8"/>
        <v>188.20962499999996</v>
      </c>
      <c r="I59" s="5">
        <f t="shared" si="8"/>
        <v>196.41762499999993</v>
      </c>
      <c r="J59" s="5">
        <f t="shared" si="8"/>
        <v>204.6256249999999</v>
      </c>
    </row>
    <row r="60" spans="2:12" x14ac:dyDescent="0.25">
      <c r="F60" s="5"/>
      <c r="G60" s="5"/>
      <c r="H60" s="5"/>
      <c r="I60" s="5"/>
      <c r="J60" s="5"/>
    </row>
    <row r="61" spans="2:12" x14ac:dyDescent="0.25">
      <c r="B61" t="s">
        <v>61</v>
      </c>
      <c r="F61" s="25">
        <f>-F52</f>
        <v>118.37637500000005</v>
      </c>
      <c r="G61" s="25">
        <f t="shared" ref="G61:J61" si="9">-G52</f>
        <v>80.998375000000124</v>
      </c>
      <c r="H61" s="25">
        <f t="shared" si="9"/>
        <v>72.79037500000004</v>
      </c>
      <c r="I61" s="25">
        <f t="shared" si="9"/>
        <v>64.58237500000007</v>
      </c>
      <c r="J61" s="25">
        <f t="shared" si="9"/>
        <v>56.3743750000001</v>
      </c>
    </row>
    <row r="63" spans="2:12" x14ac:dyDescent="0.25">
      <c r="B63" s="10" t="s">
        <v>28</v>
      </c>
    </row>
    <row r="65" spans="2:10" x14ac:dyDescent="0.25">
      <c r="D65" t="s">
        <v>34</v>
      </c>
      <c r="F65" s="13">
        <v>2026</v>
      </c>
      <c r="G65" s="13">
        <v>2027</v>
      </c>
      <c r="H65" s="13">
        <v>2028</v>
      </c>
      <c r="I65" s="13">
        <v>2029</v>
      </c>
      <c r="J65" s="13">
        <v>2030</v>
      </c>
    </row>
    <row r="66" spans="2:10" x14ac:dyDescent="0.25">
      <c r="D66" s="18">
        <v>500</v>
      </c>
    </row>
    <row r="68" spans="2:10" x14ac:dyDescent="0.25">
      <c r="B68" t="s">
        <v>35</v>
      </c>
      <c r="F68" s="14">
        <f>$D$66+(F52*$G$6)</f>
        <v>488.16236249999997</v>
      </c>
      <c r="G68" s="14">
        <f>$D$66+((F52+G52)*$G$6)</f>
        <v>480.06252499999999</v>
      </c>
      <c r="H68" s="14">
        <f>$D$66+((F52+G52+H52)*$G$6)</f>
        <v>472.78348749999998</v>
      </c>
      <c r="I68" s="14">
        <f>$D$66+((F52+G52+H52+I52)*$G$6)</f>
        <v>466.32524999999998</v>
      </c>
      <c r="J68" s="14">
        <f>$D$66+((F52+G52+H52+I52+J52)*$G$6)</f>
        <v>460.68781249999995</v>
      </c>
    </row>
    <row r="70" spans="2:10" x14ac:dyDescent="0.25">
      <c r="B70" t="s">
        <v>56</v>
      </c>
      <c r="F70" s="15">
        <f>F68/F46</f>
        <v>0.59113872911116494</v>
      </c>
      <c r="G70" s="15">
        <f t="shared" ref="G70:J70" si="10">G68/G46</f>
        <v>0.55615704408592437</v>
      </c>
      <c r="H70" s="15">
        <f t="shared" si="10"/>
        <v>0.54256493390988614</v>
      </c>
      <c r="I70" s="15">
        <f t="shared" si="10"/>
        <v>0.53015965320363712</v>
      </c>
      <c r="J70" s="15">
        <f t="shared" si="10"/>
        <v>0.51890828416696511</v>
      </c>
    </row>
    <row r="72" spans="2:10" x14ac:dyDescent="0.25">
      <c r="B72" t="s">
        <v>65</v>
      </c>
    </row>
    <row r="73" spans="2:10" x14ac:dyDescent="0.25">
      <c r="B73" t="s">
        <v>66</v>
      </c>
      <c r="F73" s="29">
        <f>((SUM(Budgets!$L$38, Budgets!$L$39, Budgets!$L$40, Budgets!$L$41))*$G$5)/($G$5-($G$5*$G$6))-(SUM(Budgets!$L$38, Budgets!$L$39, Budgets!$L$40, Budgets!$L$41))</f>
        <v>15.333333333333343</v>
      </c>
      <c r="G73" s="29">
        <f>((SUM(Budgets!$L$38, Budgets!$L$39, Budgets!$L$40, Budgets!$L$41))*$G$5)/($G$5-($G$5*$G$6))-(SUM(Budgets!$L$38, Budgets!$L$39, Budgets!$L$40, Budgets!$L$41))</f>
        <v>15.333333333333343</v>
      </c>
      <c r="H73" s="29">
        <f>((SUM(Budgets!$L$38, Budgets!$L$39, Budgets!$L$40, Budgets!$L$41))*$G$5)/($G$5-($G$5*$G$6))-(SUM(Budgets!$L$38, Budgets!$L$39, Budgets!$L$40, Budgets!$L$41))</f>
        <v>15.333333333333343</v>
      </c>
      <c r="I73" s="29">
        <f>((SUM(Budgets!$L$38, Budgets!$L$39, Budgets!$L$40, Budgets!$L$41))*$G$5)/($G$5-($G$5*$G$6))-(SUM(Budgets!$L$38, Budgets!$L$39, Budgets!$L$40, Budgets!$L$41))</f>
        <v>15.333333333333343</v>
      </c>
      <c r="J73" s="29">
        <f>((SUM(Budgets!$L$38, Budgets!$L$39, Budgets!$L$40, Budgets!$L$41))*$G$5)/($G$5-($G$5*$G$6))-(SUM(Budgets!$L$38, Budgets!$L$39, Budgets!$L$40, Budgets!$L$41))</f>
        <v>15.333333333333343</v>
      </c>
    </row>
  </sheetData>
  <sheetProtection sheet="1" objects="1" scenarios="1"/>
  <mergeCells count="4">
    <mergeCell ref="F29:J29"/>
    <mergeCell ref="F19:J19"/>
    <mergeCell ref="F9:J9"/>
    <mergeCell ref="F39:J39"/>
  </mergeCells>
  <conditionalFormatting sqref="F5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52:J5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scale="64" orientation="portrait" r:id="rId1"/>
  <ignoredErrors>
    <ignoredError sqref="G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Budgets</vt:lpstr>
      <vt:lpstr>LongRun</vt:lpstr>
    </vt:vector>
  </TitlesOfParts>
  <Company>Purdue University - AgIT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Langemeier, Michael R</dc:creator>
  <cp:lastModifiedBy>Michael R Langemeier</cp:lastModifiedBy>
  <cp:lastPrinted>2020-12-07T17:38:43Z</cp:lastPrinted>
  <dcterms:created xsi:type="dcterms:W3CDTF">2016-09-13T19:31:52Z</dcterms:created>
  <dcterms:modified xsi:type="dcterms:W3CDTF">2025-10-24T13:43:55Z</dcterms:modified>
</cp:coreProperties>
</file>