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Organic Spreadsheets\"/>
    </mc:Choice>
  </mc:AlternateContent>
  <xr:revisionPtr revIDLastSave="0" documentId="13_ncr:1_{316C85E6-632D-4D12-B240-9BC2714D4C75}" xr6:coauthVersionLast="47" xr6:coauthVersionMax="47" xr10:uidLastSave="{00000000-0000-0000-0000-000000000000}"/>
  <bookViews>
    <workbookView xWindow="30255" yWindow="1920" windowWidth="21600" windowHeight="11295" activeTab="2" xr2:uid="{00000000-000D-0000-FFFF-FFFF00000000}"/>
  </bookViews>
  <sheets>
    <sheet name="Notes" sheetId="25" r:id="rId1"/>
    <sheet name="Summary" sheetId="5" r:id="rId2"/>
    <sheet name="Annual Returns" sheetId="4" r:id="rId3"/>
    <sheet name="NPV Analysis" sheetId="26" r:id="rId4"/>
    <sheet name="Production Plans" sheetId="2" r:id="rId5"/>
    <sheet name="Conventional Corn" sheetId="1" r:id="rId6"/>
    <sheet name="Conventional Soybeans" sheetId="15" r:id="rId7"/>
    <sheet name="Conventional Wheat" sheetId="22" r:id="rId8"/>
    <sheet name="Transition Soybeans" sheetId="23" r:id="rId9"/>
    <sheet name="Transition Wheat" sheetId="20" r:id="rId10"/>
    <sheet name="Organic Corn" sheetId="16" r:id="rId11"/>
    <sheet name="Organic Soybeans" sheetId="17" r:id="rId12"/>
    <sheet name="Organic Wheat" sheetId="18" r:id="rId13"/>
    <sheet name="Long-Run Projections" sheetId="3" r:id="rId14"/>
    <sheet name="Acreage Proportions" sheetId="12" r:id="rId15"/>
    <sheet name="Field Operations" sheetId="24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1" i="3" l="1"/>
  <c r="O41" i="3"/>
  <c r="N41" i="3"/>
  <c r="M41" i="3"/>
  <c r="L41" i="3"/>
  <c r="K41" i="3"/>
  <c r="J41" i="3"/>
  <c r="I41" i="3"/>
  <c r="H41" i="3"/>
  <c r="P40" i="3"/>
  <c r="O40" i="3"/>
  <c r="N40" i="3"/>
  <c r="M40" i="3"/>
  <c r="L40" i="3"/>
  <c r="K40" i="3"/>
  <c r="J40" i="3"/>
  <c r="I40" i="3"/>
  <c r="H40" i="3"/>
  <c r="P38" i="3"/>
  <c r="O38" i="3"/>
  <c r="N38" i="3"/>
  <c r="M38" i="3"/>
  <c r="L38" i="3"/>
  <c r="K38" i="3"/>
  <c r="J38" i="3"/>
  <c r="I38" i="3"/>
  <c r="H38" i="3"/>
  <c r="P37" i="3"/>
  <c r="O37" i="3"/>
  <c r="N37" i="3"/>
  <c r="M37" i="3"/>
  <c r="L37" i="3"/>
  <c r="K37" i="3"/>
  <c r="J37" i="3"/>
  <c r="I37" i="3"/>
  <c r="H37" i="3"/>
  <c r="P36" i="3"/>
  <c r="O36" i="3"/>
  <c r="N36" i="3"/>
  <c r="M36" i="3"/>
  <c r="L36" i="3"/>
  <c r="K36" i="3"/>
  <c r="J36" i="3"/>
  <c r="I36" i="3"/>
  <c r="H36" i="3"/>
  <c r="P35" i="3"/>
  <c r="O35" i="3"/>
  <c r="N35" i="3"/>
  <c r="M35" i="3"/>
  <c r="L35" i="3"/>
  <c r="K35" i="3"/>
  <c r="J35" i="3"/>
  <c r="I35" i="3"/>
  <c r="H35" i="3"/>
  <c r="I64" i="18"/>
  <c r="H64" i="18"/>
  <c r="H30" i="17"/>
  <c r="I64" i="16"/>
  <c r="H64" i="16"/>
  <c r="H30" i="16"/>
  <c r="I64" i="20"/>
  <c r="H64" i="20"/>
  <c r="I64" i="23"/>
  <c r="H64" i="23"/>
  <c r="H30" i="23"/>
  <c r="B48" i="26" l="1"/>
  <c r="B26" i="26"/>
  <c r="C56" i="26"/>
  <c r="C54" i="26"/>
  <c r="C53" i="26"/>
  <c r="C52" i="26"/>
  <c r="C51" i="26"/>
  <c r="C50" i="26"/>
  <c r="C34" i="26"/>
  <c r="C32" i="26"/>
  <c r="C31" i="26"/>
  <c r="C30" i="26"/>
  <c r="C29" i="26"/>
  <c r="C28" i="26"/>
  <c r="C12" i="26" l="1"/>
  <c r="C10" i="26"/>
  <c r="C9" i="26"/>
  <c r="C8" i="26"/>
  <c r="C7" i="26"/>
  <c r="C6" i="26"/>
  <c r="B4" i="26"/>
  <c r="I45" i="16" l="1"/>
  <c r="I45" i="18"/>
  <c r="I45" i="20"/>
  <c r="H20" i="16" l="1"/>
  <c r="H25" i="16"/>
  <c r="J25" i="16" s="1"/>
  <c r="I64" i="17"/>
  <c r="H64" i="17"/>
  <c r="I45" i="17"/>
  <c r="H20" i="17"/>
  <c r="J20" i="17" l="1"/>
  <c r="I45" i="23" l="1"/>
  <c r="H20" i="23"/>
  <c r="H25" i="23"/>
  <c r="J25" i="23" s="1"/>
  <c r="G10" i="3"/>
  <c r="H40" i="22" l="1"/>
  <c r="J40" i="22" s="1"/>
  <c r="G84" i="3" l="1"/>
  <c r="G83" i="3"/>
  <c r="G82" i="3"/>
  <c r="G81" i="3"/>
  <c r="G80" i="3"/>
  <c r="I74" i="18"/>
  <c r="G40" i="3"/>
  <c r="G41" i="3"/>
  <c r="G42" i="3"/>
  <c r="G39" i="3"/>
  <c r="G38" i="3"/>
  <c r="G25" i="3"/>
  <c r="G24" i="3"/>
  <c r="I74" i="20"/>
  <c r="J7" i="18"/>
  <c r="G11" i="3"/>
  <c r="J7" i="20"/>
  <c r="J97" i="23"/>
  <c r="H93" i="23"/>
  <c r="I91" i="23"/>
  <c r="J91" i="23" s="1"/>
  <c r="I86" i="23"/>
  <c r="J86" i="23" s="1"/>
  <c r="I79" i="23"/>
  <c r="H77" i="23"/>
  <c r="H72" i="23"/>
  <c r="J72" i="23" s="1"/>
  <c r="J69" i="23"/>
  <c r="J62" i="23"/>
  <c r="J61" i="23"/>
  <c r="J60" i="23"/>
  <c r="J59" i="23"/>
  <c r="J58" i="23"/>
  <c r="J57" i="23"/>
  <c r="J56" i="23"/>
  <c r="J55" i="23"/>
  <c r="J54" i="23"/>
  <c r="J53" i="23"/>
  <c r="J52" i="23"/>
  <c r="J51" i="23"/>
  <c r="J50" i="23"/>
  <c r="J42" i="23"/>
  <c r="J41" i="23"/>
  <c r="J40" i="23"/>
  <c r="J39" i="23"/>
  <c r="J38" i="23"/>
  <c r="J37" i="23"/>
  <c r="H35" i="23"/>
  <c r="J30" i="23"/>
  <c r="J7" i="23"/>
  <c r="J12" i="23" s="1"/>
  <c r="F87" i="4" l="1"/>
  <c r="F107" i="4"/>
  <c r="J35" i="23"/>
  <c r="H43" i="23"/>
  <c r="H79" i="23"/>
  <c r="J64" i="23"/>
  <c r="I93" i="23"/>
  <c r="J93" i="23" s="1"/>
  <c r="J77" i="23"/>
  <c r="J79" i="23" s="1"/>
  <c r="J20" i="23"/>
  <c r="G37" i="3"/>
  <c r="G79" i="3"/>
  <c r="I80" i="22"/>
  <c r="J7" i="22"/>
  <c r="J12" i="22" s="1"/>
  <c r="G9" i="3"/>
  <c r="G23" i="3"/>
  <c r="J98" i="22"/>
  <c r="H94" i="22"/>
  <c r="I92" i="22"/>
  <c r="J92" i="22" s="1"/>
  <c r="I87" i="22"/>
  <c r="J87" i="22" s="1"/>
  <c r="H78" i="22"/>
  <c r="J78" i="22" s="1"/>
  <c r="J75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I70" i="22"/>
  <c r="H70" i="22"/>
  <c r="I51" i="22"/>
  <c r="J48" i="22"/>
  <c r="J47" i="22"/>
  <c r="J46" i="22"/>
  <c r="J45" i="22"/>
  <c r="J44" i="22"/>
  <c r="J43" i="22"/>
  <c r="J42" i="22"/>
  <c r="H35" i="22"/>
  <c r="J35" i="22" s="1"/>
  <c r="H30" i="22"/>
  <c r="H25" i="22"/>
  <c r="H20" i="22"/>
  <c r="AG13" i="2"/>
  <c r="AG12" i="2"/>
  <c r="AG11" i="2"/>
  <c r="AG10" i="2"/>
  <c r="AG9" i="2"/>
  <c r="AG8" i="2"/>
  <c r="O5" i="12" s="1"/>
  <c r="AD13" i="2"/>
  <c r="AD12" i="2"/>
  <c r="AD11" i="2"/>
  <c r="AD10" i="2"/>
  <c r="AD9" i="2"/>
  <c r="AD8" i="2"/>
  <c r="AA13" i="2"/>
  <c r="AA12" i="2"/>
  <c r="AA11" i="2"/>
  <c r="AA10" i="2"/>
  <c r="AA9" i="2"/>
  <c r="AA8" i="2"/>
  <c r="X13" i="2"/>
  <c r="X12" i="2"/>
  <c r="X11" i="2"/>
  <c r="X10" i="2"/>
  <c r="X9" i="2"/>
  <c r="X8" i="2"/>
  <c r="U13" i="2"/>
  <c r="U12" i="2"/>
  <c r="U11" i="2"/>
  <c r="U10" i="2"/>
  <c r="U9" i="2"/>
  <c r="U8" i="2"/>
  <c r="K5" i="12" s="1"/>
  <c r="R13" i="2"/>
  <c r="R12" i="2"/>
  <c r="R11" i="2"/>
  <c r="R10" i="2"/>
  <c r="R9" i="2"/>
  <c r="R8" i="2"/>
  <c r="O13" i="2"/>
  <c r="O12" i="2"/>
  <c r="O11" i="2"/>
  <c r="O10" i="2"/>
  <c r="O9" i="2"/>
  <c r="O8" i="2"/>
  <c r="L13" i="2"/>
  <c r="L12" i="2"/>
  <c r="L11" i="2"/>
  <c r="L10" i="2"/>
  <c r="L9" i="2"/>
  <c r="L8" i="2"/>
  <c r="I13" i="2"/>
  <c r="I12" i="2"/>
  <c r="I11" i="2"/>
  <c r="I10" i="2"/>
  <c r="I9" i="2"/>
  <c r="I8" i="2"/>
  <c r="G5" i="12" s="1"/>
  <c r="AG39" i="2"/>
  <c r="AG38" i="2"/>
  <c r="AG37" i="2"/>
  <c r="AG36" i="2"/>
  <c r="AG35" i="2"/>
  <c r="AG34" i="2"/>
  <c r="AD39" i="2"/>
  <c r="AD38" i="2"/>
  <c r="AD37" i="2"/>
  <c r="AD36" i="2"/>
  <c r="N41" i="12" s="1"/>
  <c r="AD35" i="2"/>
  <c r="AD34" i="2"/>
  <c r="AA39" i="2"/>
  <c r="AA38" i="2"/>
  <c r="AA37" i="2"/>
  <c r="AA36" i="2"/>
  <c r="AA35" i="2"/>
  <c r="AA34" i="2"/>
  <c r="M41" i="12" s="1"/>
  <c r="X39" i="2"/>
  <c r="X38" i="2"/>
  <c r="X37" i="2"/>
  <c r="X36" i="2"/>
  <c r="X35" i="2"/>
  <c r="L41" i="12" s="1"/>
  <c r="X34" i="2"/>
  <c r="U39" i="2"/>
  <c r="U38" i="2"/>
  <c r="U37" i="2"/>
  <c r="U36" i="2"/>
  <c r="U35" i="2"/>
  <c r="U34" i="2"/>
  <c r="H5" i="12" l="1"/>
  <c r="L5" i="12"/>
  <c r="M43" i="12"/>
  <c r="K43" i="12"/>
  <c r="L43" i="12"/>
  <c r="O39" i="12"/>
  <c r="K39" i="12"/>
  <c r="J7" i="12"/>
  <c r="N7" i="12"/>
  <c r="O41" i="12"/>
  <c r="K41" i="12"/>
  <c r="N43" i="12"/>
  <c r="O43" i="12"/>
  <c r="I5" i="12"/>
  <c r="M5" i="12"/>
  <c r="N39" i="12"/>
  <c r="I7" i="12"/>
  <c r="M7" i="12"/>
  <c r="H7" i="12"/>
  <c r="L7" i="12"/>
  <c r="M39" i="12"/>
  <c r="L39" i="12"/>
  <c r="G7" i="12"/>
  <c r="K7" i="12"/>
  <c r="O7" i="12"/>
  <c r="H80" i="22"/>
  <c r="J80" i="22" s="1"/>
  <c r="J5" i="12"/>
  <c r="N5" i="12"/>
  <c r="J25" i="22"/>
  <c r="H49" i="22"/>
  <c r="J49" i="22" s="1"/>
  <c r="J43" i="23"/>
  <c r="H45" i="23"/>
  <c r="F97" i="4"/>
  <c r="F57" i="4"/>
  <c r="I101" i="23"/>
  <c r="J70" i="22"/>
  <c r="I94" i="22"/>
  <c r="J94" i="22" s="1"/>
  <c r="J30" i="22"/>
  <c r="J56" i="22"/>
  <c r="J20" i="22"/>
  <c r="I102" i="23" l="1"/>
  <c r="G66" i="3"/>
  <c r="F90" i="4" s="1"/>
  <c r="H101" i="23"/>
  <c r="G52" i="3" s="1"/>
  <c r="F88" i="4" s="1"/>
  <c r="J45" i="23"/>
  <c r="I102" i="22"/>
  <c r="H51" i="22"/>
  <c r="J51" i="22" s="1"/>
  <c r="G65" i="3" l="1"/>
  <c r="F60" i="4" s="1"/>
  <c r="I103" i="22"/>
  <c r="F89" i="4"/>
  <c r="F91" i="4" s="1"/>
  <c r="F93" i="4" s="1"/>
  <c r="J101" i="23"/>
  <c r="J111" i="23" s="1"/>
  <c r="J112" i="23" s="1"/>
  <c r="H102" i="23"/>
  <c r="J102" i="23" s="1"/>
  <c r="J106" i="23"/>
  <c r="J107" i="23" s="1"/>
  <c r="H102" i="22"/>
  <c r="H103" i="22" s="1"/>
  <c r="F100" i="4" l="1"/>
  <c r="J103" i="22"/>
  <c r="J107" i="22"/>
  <c r="J108" i="22" s="1"/>
  <c r="G51" i="3"/>
  <c r="J102" i="22"/>
  <c r="J112" i="22" s="1"/>
  <c r="J113" i="22" s="1"/>
  <c r="F58" i="4" l="1"/>
  <c r="F59" i="4" s="1"/>
  <c r="F61" i="4" s="1"/>
  <c r="F63" i="4" s="1"/>
  <c r="F98" i="4"/>
  <c r="AG26" i="2"/>
  <c r="AG25" i="2"/>
  <c r="AG24" i="2"/>
  <c r="AG23" i="2"/>
  <c r="O18" i="12" s="1"/>
  <c r="AG22" i="2"/>
  <c r="O16" i="12" s="1"/>
  <c r="AG21" i="2"/>
  <c r="O20" i="12" s="1"/>
  <c r="AD26" i="2"/>
  <c r="AD25" i="2"/>
  <c r="AD24" i="2"/>
  <c r="AD23" i="2"/>
  <c r="AD22" i="2"/>
  <c r="N16" i="12" s="1"/>
  <c r="AD21" i="2"/>
  <c r="N20" i="12" s="1"/>
  <c r="AA26" i="2"/>
  <c r="AA25" i="2"/>
  <c r="AA24" i="2"/>
  <c r="AA23" i="2"/>
  <c r="AA22" i="2"/>
  <c r="AA21" i="2"/>
  <c r="X26" i="2"/>
  <c r="X25" i="2"/>
  <c r="X24" i="2"/>
  <c r="X23" i="2"/>
  <c r="L18" i="12" s="1"/>
  <c r="X22" i="2"/>
  <c r="X21" i="2"/>
  <c r="U26" i="2"/>
  <c r="U25" i="2"/>
  <c r="U24" i="2"/>
  <c r="U23" i="2"/>
  <c r="K18" i="12" s="1"/>
  <c r="U22" i="2"/>
  <c r="K16" i="12" s="1"/>
  <c r="U21" i="2"/>
  <c r="K20" i="12" s="1"/>
  <c r="R26" i="2"/>
  <c r="R25" i="2"/>
  <c r="R24" i="2"/>
  <c r="R23" i="2"/>
  <c r="R22" i="2"/>
  <c r="J16" i="12" s="1"/>
  <c r="R21" i="2"/>
  <c r="J20" i="12" s="1"/>
  <c r="O26" i="2"/>
  <c r="O25" i="2"/>
  <c r="O24" i="2"/>
  <c r="O23" i="2"/>
  <c r="O22" i="2"/>
  <c r="O21" i="2"/>
  <c r="L26" i="2"/>
  <c r="L25" i="2"/>
  <c r="L24" i="2"/>
  <c r="L23" i="2"/>
  <c r="H18" i="12" s="1"/>
  <c r="L22" i="2"/>
  <c r="L21" i="2"/>
  <c r="I26" i="2"/>
  <c r="I25" i="2"/>
  <c r="I24" i="2"/>
  <c r="I23" i="2"/>
  <c r="G18" i="12" s="1"/>
  <c r="I22" i="2"/>
  <c r="G16" i="12" s="1"/>
  <c r="I21" i="2"/>
  <c r="G20" i="12" s="1"/>
  <c r="H16" i="12" l="1"/>
  <c r="L16" i="12"/>
  <c r="G22" i="12"/>
  <c r="K22" i="12"/>
  <c r="O22" i="12"/>
  <c r="N18" i="12"/>
  <c r="N22" i="12" s="1"/>
  <c r="I20" i="12"/>
  <c r="J18" i="12"/>
  <c r="J22" i="12" s="1"/>
  <c r="M20" i="12"/>
  <c r="I16" i="12"/>
  <c r="M16" i="12"/>
  <c r="H20" i="12"/>
  <c r="H22" i="12" s="1"/>
  <c r="I18" i="12"/>
  <c r="L20" i="12"/>
  <c r="M18" i="12"/>
  <c r="R39" i="2"/>
  <c r="R38" i="2"/>
  <c r="R37" i="2"/>
  <c r="R36" i="2"/>
  <c r="R35" i="2"/>
  <c r="J43" i="12" s="1"/>
  <c r="R34" i="2"/>
  <c r="J41" i="12" s="1"/>
  <c r="O39" i="2"/>
  <c r="O38" i="2"/>
  <c r="O37" i="2"/>
  <c r="O36" i="2"/>
  <c r="O35" i="2"/>
  <c r="O34" i="2"/>
  <c r="L39" i="2"/>
  <c r="L38" i="2"/>
  <c r="L37" i="2"/>
  <c r="L36" i="2"/>
  <c r="L35" i="2"/>
  <c r="L34" i="2"/>
  <c r="I39" i="2"/>
  <c r="I38" i="2"/>
  <c r="I37" i="2"/>
  <c r="I36" i="2"/>
  <c r="G29" i="12" s="1"/>
  <c r="I35" i="2"/>
  <c r="G37" i="12" s="1"/>
  <c r="I34" i="2"/>
  <c r="F39" i="2"/>
  <c r="F38" i="2"/>
  <c r="F37" i="2"/>
  <c r="F36" i="2"/>
  <c r="F35" i="2"/>
  <c r="F35" i="12" s="1"/>
  <c r="F34" i="2"/>
  <c r="F29" i="12" s="1"/>
  <c r="F26" i="2"/>
  <c r="F25" i="2"/>
  <c r="F24" i="2"/>
  <c r="F23" i="2"/>
  <c r="F22" i="2"/>
  <c r="F21" i="2"/>
  <c r="F13" i="2"/>
  <c r="F12" i="2"/>
  <c r="F11" i="2"/>
  <c r="F10" i="2"/>
  <c r="F9" i="2"/>
  <c r="F8" i="2"/>
  <c r="L22" i="12" l="1"/>
  <c r="I39" i="12"/>
  <c r="M22" i="12"/>
  <c r="F20" i="12"/>
  <c r="F33" i="12"/>
  <c r="J39" i="12"/>
  <c r="F16" i="12"/>
  <c r="Q16" i="12" s="1"/>
  <c r="F26" i="5" s="1"/>
  <c r="I41" i="12"/>
  <c r="F5" i="12"/>
  <c r="F18" i="12"/>
  <c r="Q18" i="12" s="1"/>
  <c r="G26" i="5" s="1"/>
  <c r="H37" i="12"/>
  <c r="I37" i="12"/>
  <c r="Q20" i="12"/>
  <c r="H26" i="5" s="1"/>
  <c r="F7" i="12"/>
  <c r="H39" i="12"/>
  <c r="I22" i="12"/>
  <c r="G35" i="12"/>
  <c r="H35" i="12"/>
  <c r="I50" i="15"/>
  <c r="I50" i="1"/>
  <c r="I26" i="5" l="1"/>
  <c r="F22" i="12"/>
  <c r="Q22" i="12" s="1"/>
  <c r="H10" i="3"/>
  <c r="J92" i="20"/>
  <c r="H88" i="20"/>
  <c r="I86" i="20"/>
  <c r="J86" i="20" s="1"/>
  <c r="I81" i="20"/>
  <c r="J81" i="20" s="1"/>
  <c r="H72" i="20"/>
  <c r="H74" i="20" s="1"/>
  <c r="J69" i="20"/>
  <c r="J62" i="20"/>
  <c r="J61" i="20"/>
  <c r="J60" i="20"/>
  <c r="J59" i="20"/>
  <c r="J58" i="20"/>
  <c r="J57" i="20"/>
  <c r="J56" i="20"/>
  <c r="J55" i="20"/>
  <c r="J54" i="20"/>
  <c r="J53" i="20"/>
  <c r="J52" i="20"/>
  <c r="J51" i="20"/>
  <c r="J42" i="20"/>
  <c r="J41" i="20"/>
  <c r="J40" i="20"/>
  <c r="J39" i="20"/>
  <c r="J38" i="20"/>
  <c r="J37" i="20"/>
  <c r="H35" i="20"/>
  <c r="J35" i="20" s="1"/>
  <c r="H30" i="20"/>
  <c r="H25" i="20"/>
  <c r="J25" i="20" s="1"/>
  <c r="H20" i="20"/>
  <c r="H43" i="20" s="1"/>
  <c r="J12" i="20"/>
  <c r="G28" i="3"/>
  <c r="G14" i="3"/>
  <c r="F137" i="4" l="1"/>
  <c r="J30" i="20"/>
  <c r="H45" i="20"/>
  <c r="I10" i="3"/>
  <c r="G87" i="4"/>
  <c r="J43" i="20"/>
  <c r="J20" i="20"/>
  <c r="J72" i="20"/>
  <c r="J74" i="20"/>
  <c r="J64" i="20"/>
  <c r="I88" i="20"/>
  <c r="J88" i="20" s="1"/>
  <c r="J50" i="20"/>
  <c r="I96" i="20" l="1"/>
  <c r="G67" i="3" s="1"/>
  <c r="F110" i="4" s="1"/>
  <c r="J10" i="3"/>
  <c r="H87" i="4"/>
  <c r="J45" i="20"/>
  <c r="I97" i="20" l="1"/>
  <c r="K10" i="3"/>
  <c r="I87" i="4"/>
  <c r="H96" i="20"/>
  <c r="H97" i="20" s="1"/>
  <c r="H25" i="18"/>
  <c r="J25" i="18" s="1"/>
  <c r="H20" i="18"/>
  <c r="J12" i="18"/>
  <c r="J92" i="18"/>
  <c r="H88" i="18"/>
  <c r="I86" i="18"/>
  <c r="J86" i="18" s="1"/>
  <c r="I81" i="18"/>
  <c r="J81" i="18" s="1"/>
  <c r="H72" i="18"/>
  <c r="H74" i="18" s="1"/>
  <c r="J69" i="18"/>
  <c r="J62" i="18"/>
  <c r="J61" i="18"/>
  <c r="J60" i="18"/>
  <c r="J59" i="18"/>
  <c r="J58" i="18"/>
  <c r="J57" i="18"/>
  <c r="J56" i="18"/>
  <c r="J55" i="18"/>
  <c r="J54" i="18"/>
  <c r="J53" i="18"/>
  <c r="J51" i="18"/>
  <c r="J42" i="18"/>
  <c r="J41" i="18"/>
  <c r="J40" i="18"/>
  <c r="J39" i="18"/>
  <c r="J38" i="18"/>
  <c r="J37" i="18"/>
  <c r="H35" i="18"/>
  <c r="H30" i="18"/>
  <c r="G27" i="3"/>
  <c r="G13" i="3"/>
  <c r="J52" i="17"/>
  <c r="J96" i="17"/>
  <c r="H92" i="17"/>
  <c r="I90" i="17"/>
  <c r="J90" i="17" s="1"/>
  <c r="I85" i="17"/>
  <c r="J85" i="17" s="1"/>
  <c r="I78" i="17"/>
  <c r="H76" i="17"/>
  <c r="H71" i="17"/>
  <c r="J71" i="17" s="1"/>
  <c r="J69" i="17"/>
  <c r="J62" i="17"/>
  <c r="J61" i="17"/>
  <c r="J60" i="17"/>
  <c r="J59" i="17"/>
  <c r="J58" i="17"/>
  <c r="J57" i="17"/>
  <c r="J56" i="17"/>
  <c r="J55" i="17"/>
  <c r="J54" i="17"/>
  <c r="J53" i="17"/>
  <c r="J51" i="17"/>
  <c r="J50" i="17"/>
  <c r="J42" i="17"/>
  <c r="J41" i="17"/>
  <c r="J40" i="17"/>
  <c r="J39" i="17"/>
  <c r="J38" i="17"/>
  <c r="J37" i="17"/>
  <c r="H35" i="17"/>
  <c r="J35" i="17" s="1"/>
  <c r="H25" i="17"/>
  <c r="J7" i="17"/>
  <c r="J12" i="17" s="1"/>
  <c r="G26" i="3"/>
  <c r="G12" i="3"/>
  <c r="H43" i="17" l="1"/>
  <c r="J30" i="18"/>
  <c r="H43" i="18"/>
  <c r="H45" i="18" s="1"/>
  <c r="J96" i="20"/>
  <c r="G53" i="3"/>
  <c r="F108" i="4" s="1"/>
  <c r="F117" i="4"/>
  <c r="J30" i="17"/>
  <c r="H45" i="17"/>
  <c r="F127" i="4"/>
  <c r="L10" i="3"/>
  <c r="J87" i="4"/>
  <c r="J101" i="20"/>
  <c r="J102" i="20" s="1"/>
  <c r="H78" i="17"/>
  <c r="J72" i="18"/>
  <c r="J35" i="18"/>
  <c r="J50" i="18"/>
  <c r="J52" i="18"/>
  <c r="J20" i="18"/>
  <c r="I88" i="18"/>
  <c r="J88" i="18" s="1"/>
  <c r="J43" i="17"/>
  <c r="J76" i="17"/>
  <c r="J78" i="17" s="1"/>
  <c r="I92" i="17"/>
  <c r="J92" i="17" s="1"/>
  <c r="J25" i="17"/>
  <c r="I100" i="17" l="1"/>
  <c r="G69" i="3" s="1"/>
  <c r="F130" i="4" s="1"/>
  <c r="J106" i="20"/>
  <c r="J107" i="20" s="1"/>
  <c r="J97" i="20"/>
  <c r="F109" i="4"/>
  <c r="F111" i="4" s="1"/>
  <c r="F113" i="4" s="1"/>
  <c r="M10" i="3"/>
  <c r="K87" i="4"/>
  <c r="J74" i="18"/>
  <c r="J43" i="18"/>
  <c r="J64" i="18"/>
  <c r="I96" i="18"/>
  <c r="H96" i="18"/>
  <c r="J45" i="18"/>
  <c r="J64" i="17"/>
  <c r="H100" i="17"/>
  <c r="G55" i="3" s="1"/>
  <c r="F128" i="4" s="1"/>
  <c r="J45" i="17"/>
  <c r="J97" i="16"/>
  <c r="H93" i="16"/>
  <c r="I91" i="16"/>
  <c r="I86" i="16"/>
  <c r="J86" i="16" s="1"/>
  <c r="I79" i="16"/>
  <c r="H77" i="16"/>
  <c r="H72" i="16"/>
  <c r="J72" i="16" s="1"/>
  <c r="J69" i="16"/>
  <c r="J62" i="16"/>
  <c r="J61" i="16"/>
  <c r="J60" i="16"/>
  <c r="J59" i="16"/>
  <c r="J58" i="16"/>
  <c r="J57" i="16"/>
  <c r="J56" i="16"/>
  <c r="J55" i="16"/>
  <c r="J54" i="16"/>
  <c r="J53" i="16"/>
  <c r="J52" i="16"/>
  <c r="J51" i="16"/>
  <c r="J50" i="16"/>
  <c r="J42" i="16"/>
  <c r="J41" i="16"/>
  <c r="J40" i="16"/>
  <c r="J39" i="16"/>
  <c r="J38" i="16"/>
  <c r="J37" i="16"/>
  <c r="H35" i="16"/>
  <c r="J30" i="16"/>
  <c r="J7" i="16"/>
  <c r="J12" i="16" s="1"/>
  <c r="G78" i="3"/>
  <c r="G22" i="3"/>
  <c r="G8" i="3"/>
  <c r="G36" i="3"/>
  <c r="G35" i="3"/>
  <c r="I101" i="17" l="1"/>
  <c r="J35" i="16"/>
  <c r="H43" i="16"/>
  <c r="H45" i="16" s="1"/>
  <c r="G70" i="3"/>
  <c r="F140" i="4" s="1"/>
  <c r="I97" i="18"/>
  <c r="G56" i="3"/>
  <c r="F138" i="4" s="1"/>
  <c r="F139" i="4" s="1"/>
  <c r="H97" i="18"/>
  <c r="N10" i="3"/>
  <c r="L87" i="4"/>
  <c r="F47" i="4"/>
  <c r="J96" i="18"/>
  <c r="J101" i="18"/>
  <c r="J102" i="18" s="1"/>
  <c r="H101" i="17"/>
  <c r="J100" i="17"/>
  <c r="J110" i="17" s="1"/>
  <c r="J111" i="17" s="1"/>
  <c r="J105" i="17"/>
  <c r="J106" i="17" s="1"/>
  <c r="H79" i="16"/>
  <c r="J64" i="16"/>
  <c r="I93" i="16"/>
  <c r="J93" i="16" s="1"/>
  <c r="J77" i="16"/>
  <c r="J79" i="16" s="1"/>
  <c r="J20" i="16"/>
  <c r="J91" i="16"/>
  <c r="J102" i="15"/>
  <c r="H98" i="15"/>
  <c r="I96" i="15"/>
  <c r="J96" i="15" s="1"/>
  <c r="I91" i="15"/>
  <c r="J91" i="15" s="1"/>
  <c r="I84" i="15"/>
  <c r="H82" i="15"/>
  <c r="J82" i="15" s="1"/>
  <c r="H77" i="15"/>
  <c r="J77" i="15" s="1"/>
  <c r="J74" i="15"/>
  <c r="I69" i="15"/>
  <c r="H69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47" i="15"/>
  <c r="J46" i="15"/>
  <c r="J45" i="15"/>
  <c r="J44" i="15"/>
  <c r="J43" i="15"/>
  <c r="J42" i="15"/>
  <c r="H40" i="15"/>
  <c r="J40" i="15" s="1"/>
  <c r="H35" i="15"/>
  <c r="J35" i="15" s="1"/>
  <c r="H30" i="15"/>
  <c r="J30" i="15" s="1"/>
  <c r="H25" i="15"/>
  <c r="J25" i="15" s="1"/>
  <c r="H20" i="15"/>
  <c r="J7" i="15"/>
  <c r="J12" i="15" s="1"/>
  <c r="I98" i="15" l="1"/>
  <c r="J101" i="17"/>
  <c r="F141" i="4"/>
  <c r="F143" i="4" s="1"/>
  <c r="J106" i="18"/>
  <c r="J107" i="18" s="1"/>
  <c r="J97" i="18"/>
  <c r="O10" i="3"/>
  <c r="M87" i="4"/>
  <c r="J98" i="15"/>
  <c r="J20" i="15"/>
  <c r="H84" i="15"/>
  <c r="H48" i="15"/>
  <c r="H50" i="15" s="1"/>
  <c r="J43" i="16"/>
  <c r="I101" i="16"/>
  <c r="G68" i="3" s="1"/>
  <c r="F120" i="4" s="1"/>
  <c r="J45" i="16"/>
  <c r="I106" i="15"/>
  <c r="I107" i="15" s="1"/>
  <c r="J69" i="15"/>
  <c r="J84" i="15"/>
  <c r="P10" i="3" l="1"/>
  <c r="O87" i="4" s="1"/>
  <c r="N87" i="4"/>
  <c r="G64" i="3"/>
  <c r="F50" i="4" s="1"/>
  <c r="J48" i="15"/>
  <c r="I102" i="16"/>
  <c r="H101" i="16"/>
  <c r="G54" i="3" s="1"/>
  <c r="F118" i="4" s="1"/>
  <c r="H106" i="15"/>
  <c r="J50" i="15"/>
  <c r="R87" i="4" l="1"/>
  <c r="Q87" i="4"/>
  <c r="G33" i="5" s="1"/>
  <c r="G50" i="3"/>
  <c r="F48" i="4" s="1"/>
  <c r="H107" i="15"/>
  <c r="J107" i="15" s="1"/>
  <c r="J101" i="16"/>
  <c r="J111" i="16" s="1"/>
  <c r="J112" i="16" s="1"/>
  <c r="J106" i="16"/>
  <c r="J107" i="16" s="1"/>
  <c r="H102" i="16"/>
  <c r="J102" i="16" s="1"/>
  <c r="J106" i="15"/>
  <c r="J116" i="15" s="1"/>
  <c r="J117" i="15" s="1"/>
  <c r="J111" i="15"/>
  <c r="J112" i="15" s="1"/>
  <c r="F49" i="4" l="1"/>
  <c r="J47" i="1"/>
  <c r="F51" i="4" l="1"/>
  <c r="I84" i="1"/>
  <c r="H82" i="1"/>
  <c r="H77" i="1"/>
  <c r="J77" i="1" s="1"/>
  <c r="J74" i="1"/>
  <c r="H40" i="1"/>
  <c r="J40" i="1" s="1"/>
  <c r="F53" i="4" l="1"/>
  <c r="H84" i="1"/>
  <c r="H80" i="3"/>
  <c r="I80" i="3" s="1"/>
  <c r="J80" i="3" s="1"/>
  <c r="K80" i="3" s="1"/>
  <c r="L80" i="3" s="1"/>
  <c r="M80" i="3" s="1"/>
  <c r="N80" i="3" s="1"/>
  <c r="O80" i="3" s="1"/>
  <c r="P80" i="3" s="1"/>
  <c r="H79" i="3"/>
  <c r="I79" i="3" s="1"/>
  <c r="J79" i="3" s="1"/>
  <c r="K79" i="3" s="1"/>
  <c r="L79" i="3" s="1"/>
  <c r="M79" i="3" s="1"/>
  <c r="N79" i="3" s="1"/>
  <c r="O79" i="3" s="1"/>
  <c r="P79" i="3" s="1"/>
  <c r="Q35" i="12"/>
  <c r="H39" i="5" s="1"/>
  <c r="Q33" i="12"/>
  <c r="G39" i="5" s="1"/>
  <c r="H11" i="3" l="1"/>
  <c r="G107" i="4" s="1"/>
  <c r="H9" i="3"/>
  <c r="G97" i="4" s="1"/>
  <c r="J45" i="12"/>
  <c r="I45" i="12"/>
  <c r="H45" i="12"/>
  <c r="H84" i="3"/>
  <c r="I84" i="3" s="1"/>
  <c r="J84" i="3" s="1"/>
  <c r="K84" i="3" s="1"/>
  <c r="L84" i="3" s="1"/>
  <c r="M84" i="3" s="1"/>
  <c r="N84" i="3" s="1"/>
  <c r="O84" i="3" s="1"/>
  <c r="P84" i="3" s="1"/>
  <c r="H83" i="3"/>
  <c r="I83" i="3" s="1"/>
  <c r="J83" i="3" s="1"/>
  <c r="K83" i="3" s="1"/>
  <c r="L83" i="3" s="1"/>
  <c r="M83" i="3" s="1"/>
  <c r="N83" i="3" s="1"/>
  <c r="O83" i="3" s="1"/>
  <c r="P83" i="3" s="1"/>
  <c r="H82" i="3"/>
  <c r="I82" i="3" s="1"/>
  <c r="J82" i="3" s="1"/>
  <c r="K82" i="3" s="1"/>
  <c r="L82" i="3" s="1"/>
  <c r="M82" i="3" s="1"/>
  <c r="N82" i="3" s="1"/>
  <c r="O82" i="3" s="1"/>
  <c r="P82" i="3" s="1"/>
  <c r="H81" i="3"/>
  <c r="I81" i="3" s="1"/>
  <c r="J81" i="3" s="1"/>
  <c r="K81" i="3" s="1"/>
  <c r="L81" i="3" s="1"/>
  <c r="M81" i="3" s="1"/>
  <c r="N81" i="3" s="1"/>
  <c r="O81" i="3" s="1"/>
  <c r="P81" i="3" s="1"/>
  <c r="H78" i="3"/>
  <c r="I78" i="3" s="1"/>
  <c r="J78" i="3" s="1"/>
  <c r="K78" i="3" s="1"/>
  <c r="L78" i="3" s="1"/>
  <c r="M78" i="3" s="1"/>
  <c r="N78" i="3" s="1"/>
  <c r="O78" i="3" s="1"/>
  <c r="P78" i="3" s="1"/>
  <c r="G77" i="3"/>
  <c r="H77" i="3" l="1"/>
  <c r="G57" i="4"/>
  <c r="F45" i="12"/>
  <c r="F9" i="12"/>
  <c r="I9" i="3"/>
  <c r="H97" i="4" s="1"/>
  <c r="I11" i="3"/>
  <c r="H107" i="4" s="1"/>
  <c r="G45" i="12"/>
  <c r="K45" i="12"/>
  <c r="N45" i="12"/>
  <c r="I9" i="12"/>
  <c r="M9" i="12"/>
  <c r="G9" i="12"/>
  <c r="K9" i="12"/>
  <c r="O9" i="12"/>
  <c r="J9" i="12"/>
  <c r="N9" i="12"/>
  <c r="H9" i="12"/>
  <c r="L9" i="12"/>
  <c r="Q31" i="12"/>
  <c r="O45" i="12"/>
  <c r="M45" i="12"/>
  <c r="L45" i="12"/>
  <c r="Q37" i="12"/>
  <c r="I39" i="5" s="1"/>
  <c r="Q43" i="12"/>
  <c r="L39" i="5" s="1"/>
  <c r="Q39" i="12"/>
  <c r="J39" i="5" s="1"/>
  <c r="Q41" i="12"/>
  <c r="K39" i="5" s="1"/>
  <c r="Q29" i="12"/>
  <c r="F39" i="5" s="1"/>
  <c r="Q7" i="12"/>
  <c r="Q5" i="12"/>
  <c r="H13" i="3"/>
  <c r="G127" i="4" s="1"/>
  <c r="H12" i="3"/>
  <c r="G117" i="4" s="1"/>
  <c r="H57" i="4" l="1"/>
  <c r="F99" i="4"/>
  <c r="I77" i="3"/>
  <c r="Q9" i="12"/>
  <c r="F13" i="5"/>
  <c r="G13" i="5"/>
  <c r="H51" i="3"/>
  <c r="J11" i="3"/>
  <c r="I107" i="4" s="1"/>
  <c r="J9" i="3"/>
  <c r="I97" i="4" s="1"/>
  <c r="H65" i="3"/>
  <c r="H52" i="3"/>
  <c r="G88" i="4" s="1"/>
  <c r="M39" i="5"/>
  <c r="Q45" i="12"/>
  <c r="I12" i="3"/>
  <c r="H117" i="4" s="1"/>
  <c r="H147" i="4" s="1"/>
  <c r="J50" i="26" s="1"/>
  <c r="J58" i="26" s="1"/>
  <c r="H14" i="3"/>
  <c r="G137" i="4" s="1"/>
  <c r="I13" i="3"/>
  <c r="H127" i="4" s="1"/>
  <c r="I69" i="1"/>
  <c r="J67" i="1"/>
  <c r="J66" i="1"/>
  <c r="J65" i="1"/>
  <c r="H69" i="1"/>
  <c r="G89" i="4" l="1"/>
  <c r="G60" i="4"/>
  <c r="G100" i="4"/>
  <c r="G58" i="4"/>
  <c r="G59" i="4" s="1"/>
  <c r="G98" i="4"/>
  <c r="F101" i="4"/>
  <c r="F103" i="4" s="1"/>
  <c r="I57" i="4"/>
  <c r="J77" i="3"/>
  <c r="H13" i="5"/>
  <c r="I65" i="3"/>
  <c r="K11" i="3"/>
  <c r="J107" i="4" s="1"/>
  <c r="I51" i="3"/>
  <c r="I52" i="3"/>
  <c r="H88" i="4" s="1"/>
  <c r="H66" i="3"/>
  <c r="G90" i="4" s="1"/>
  <c r="K9" i="3"/>
  <c r="J97" i="4" s="1"/>
  <c r="H55" i="3"/>
  <c r="G128" i="4" s="1"/>
  <c r="G129" i="4" s="1"/>
  <c r="H56" i="3"/>
  <c r="G138" i="4" s="1"/>
  <c r="G139" i="4" s="1"/>
  <c r="J12" i="3"/>
  <c r="I117" i="4" s="1"/>
  <c r="I14" i="3"/>
  <c r="H137" i="4" s="1"/>
  <c r="J13" i="3"/>
  <c r="I127" i="4" s="1"/>
  <c r="F17" i="4"/>
  <c r="H8" i="3"/>
  <c r="G47" i="4" s="1"/>
  <c r="G21" i="3"/>
  <c r="G7" i="3"/>
  <c r="I147" i="4" l="1"/>
  <c r="K50" i="26" s="1"/>
  <c r="K58" i="26" s="1"/>
  <c r="G91" i="4"/>
  <c r="H89" i="4"/>
  <c r="H60" i="4"/>
  <c r="H100" i="4"/>
  <c r="G99" i="4"/>
  <c r="H58" i="4"/>
  <c r="H59" i="4" s="1"/>
  <c r="H98" i="4"/>
  <c r="H99" i="4" s="1"/>
  <c r="K77" i="3"/>
  <c r="J57" i="4"/>
  <c r="H7" i="3"/>
  <c r="G7" i="4" s="1"/>
  <c r="F77" i="4"/>
  <c r="F147" i="4" s="1"/>
  <c r="H50" i="26" s="1"/>
  <c r="F37" i="4"/>
  <c r="G61" i="4"/>
  <c r="J65" i="3"/>
  <c r="I66" i="3"/>
  <c r="H90" i="4" s="1"/>
  <c r="L11" i="3"/>
  <c r="K107" i="4" s="1"/>
  <c r="J52" i="3"/>
  <c r="I88" i="4" s="1"/>
  <c r="I89" i="4" s="1"/>
  <c r="L9" i="3"/>
  <c r="K97" i="4" s="1"/>
  <c r="F20" i="4"/>
  <c r="J51" i="3"/>
  <c r="K12" i="3"/>
  <c r="J117" i="4" s="1"/>
  <c r="I56" i="3"/>
  <c r="H138" i="4" s="1"/>
  <c r="H139" i="4" s="1"/>
  <c r="H69" i="3"/>
  <c r="G130" i="4" s="1"/>
  <c r="G131" i="4" s="1"/>
  <c r="G133" i="4" s="1"/>
  <c r="H70" i="3"/>
  <c r="G140" i="4" s="1"/>
  <c r="G141" i="4" s="1"/>
  <c r="G143" i="4" s="1"/>
  <c r="K13" i="3"/>
  <c r="J127" i="4" s="1"/>
  <c r="J14" i="3"/>
  <c r="I137" i="4" s="1"/>
  <c r="H54" i="3"/>
  <c r="G118" i="4" s="1"/>
  <c r="G119" i="4" s="1"/>
  <c r="H68" i="3"/>
  <c r="G120" i="4" s="1"/>
  <c r="I55" i="3"/>
  <c r="H128" i="4" s="1"/>
  <c r="H129" i="4" s="1"/>
  <c r="G17" i="4"/>
  <c r="I8" i="3"/>
  <c r="H47" i="4" s="1"/>
  <c r="F7" i="4"/>
  <c r="J64" i="1"/>
  <c r="J69" i="1"/>
  <c r="J63" i="1"/>
  <c r="H98" i="1"/>
  <c r="I96" i="1"/>
  <c r="J96" i="1" s="1"/>
  <c r="I91" i="1"/>
  <c r="J91" i="1" s="1"/>
  <c r="J82" i="1"/>
  <c r="J84" i="1" s="1"/>
  <c r="J102" i="1"/>
  <c r="H101" i="4" l="1"/>
  <c r="H103" i="4" s="1"/>
  <c r="H58" i="26"/>
  <c r="I7" i="3"/>
  <c r="H37" i="4" s="1"/>
  <c r="G121" i="4"/>
  <c r="G123" i="4" s="1"/>
  <c r="H91" i="4"/>
  <c r="G93" i="4"/>
  <c r="H61" i="4"/>
  <c r="H63" i="4" s="1"/>
  <c r="I60" i="4"/>
  <c r="I100" i="4"/>
  <c r="I58" i="4"/>
  <c r="I59" i="4" s="1"/>
  <c r="I98" i="4"/>
  <c r="I99" i="4" s="1"/>
  <c r="G101" i="4"/>
  <c r="G63" i="4"/>
  <c r="F67" i="4"/>
  <c r="H28" i="26" s="1"/>
  <c r="L77" i="3"/>
  <c r="K57" i="4"/>
  <c r="G77" i="4"/>
  <c r="G147" i="4" s="1"/>
  <c r="I50" i="26" s="1"/>
  <c r="I58" i="26" s="1"/>
  <c r="G37" i="4"/>
  <c r="G27" i="4"/>
  <c r="I6" i="26" s="1"/>
  <c r="I14" i="26" s="1"/>
  <c r="M9" i="3"/>
  <c r="L97" i="4" s="1"/>
  <c r="J66" i="3"/>
  <c r="I90" i="4" s="1"/>
  <c r="I91" i="4" s="1"/>
  <c r="I93" i="4" s="1"/>
  <c r="K51" i="3"/>
  <c r="K65" i="3"/>
  <c r="M11" i="3"/>
  <c r="L107" i="4" s="1"/>
  <c r="K52" i="3"/>
  <c r="J88" i="4" s="1"/>
  <c r="L13" i="3"/>
  <c r="K127" i="4" s="1"/>
  <c r="I54" i="3"/>
  <c r="H118" i="4" s="1"/>
  <c r="F129" i="4"/>
  <c r="J56" i="3"/>
  <c r="I138" i="4" s="1"/>
  <c r="I139" i="4" s="1"/>
  <c r="F27" i="4"/>
  <c r="H6" i="26" s="1"/>
  <c r="I70" i="3"/>
  <c r="H140" i="4" s="1"/>
  <c r="H141" i="4" s="1"/>
  <c r="H143" i="4" s="1"/>
  <c r="I69" i="3"/>
  <c r="H130" i="4" s="1"/>
  <c r="H131" i="4" s="1"/>
  <c r="H133" i="4" s="1"/>
  <c r="L12" i="3"/>
  <c r="K117" i="4" s="1"/>
  <c r="I98" i="1"/>
  <c r="H53" i="3"/>
  <c r="G108" i="4" s="1"/>
  <c r="J55" i="3"/>
  <c r="I128" i="4" s="1"/>
  <c r="I68" i="3"/>
  <c r="H120" i="4" s="1"/>
  <c r="H67" i="3"/>
  <c r="G110" i="4" s="1"/>
  <c r="K14" i="3"/>
  <c r="J137" i="4" s="1"/>
  <c r="J147" i="4" s="1"/>
  <c r="L50" i="26" s="1"/>
  <c r="L58" i="26" s="1"/>
  <c r="F18" i="4"/>
  <c r="F19" i="4" s="1"/>
  <c r="H50" i="3"/>
  <c r="G48" i="4" s="1"/>
  <c r="J8" i="3"/>
  <c r="I47" i="4" s="1"/>
  <c r="H17" i="4"/>
  <c r="J62" i="1"/>
  <c r="J61" i="1"/>
  <c r="J60" i="1"/>
  <c r="J59" i="1"/>
  <c r="J58" i="1"/>
  <c r="J57" i="1"/>
  <c r="J56" i="1"/>
  <c r="J55" i="1"/>
  <c r="J46" i="1"/>
  <c r="J45" i="1"/>
  <c r="J44" i="1"/>
  <c r="J43" i="1"/>
  <c r="J42" i="1"/>
  <c r="H35" i="1"/>
  <c r="J35" i="1" s="1"/>
  <c r="H30" i="1"/>
  <c r="J30" i="1" s="1"/>
  <c r="H25" i="1"/>
  <c r="H7" i="4" l="1"/>
  <c r="H27" i="4" s="1"/>
  <c r="J6" i="26" s="1"/>
  <c r="J14" i="26" s="1"/>
  <c r="H77" i="4"/>
  <c r="J7" i="3"/>
  <c r="I77" i="4" s="1"/>
  <c r="H14" i="26"/>
  <c r="H36" i="26"/>
  <c r="G109" i="4"/>
  <c r="G111" i="4" s="1"/>
  <c r="G113" i="4" s="1"/>
  <c r="H119" i="4"/>
  <c r="I129" i="4"/>
  <c r="H93" i="4"/>
  <c r="J89" i="4"/>
  <c r="I101" i="4"/>
  <c r="I103" i="4" s="1"/>
  <c r="I61" i="4"/>
  <c r="I63" i="4" s="1"/>
  <c r="J60" i="4"/>
  <c r="J100" i="4"/>
  <c r="G103" i="4"/>
  <c r="J58" i="4"/>
  <c r="J59" i="4" s="1"/>
  <c r="J98" i="4"/>
  <c r="J99" i="4" s="1"/>
  <c r="I37" i="4"/>
  <c r="H67" i="4"/>
  <c r="J28" i="26" s="1"/>
  <c r="J36" i="26" s="1"/>
  <c r="G49" i="4"/>
  <c r="L57" i="4"/>
  <c r="M77" i="3"/>
  <c r="G67" i="4"/>
  <c r="I28" i="26" s="1"/>
  <c r="I36" i="26" s="1"/>
  <c r="J98" i="1"/>
  <c r="I106" i="1"/>
  <c r="I107" i="1" s="1"/>
  <c r="J25" i="1"/>
  <c r="N11" i="3"/>
  <c r="M107" i="4" s="1"/>
  <c r="L65" i="3"/>
  <c r="L51" i="3"/>
  <c r="N9" i="3"/>
  <c r="M97" i="4" s="1"/>
  <c r="L52" i="3"/>
  <c r="K88" i="4" s="1"/>
  <c r="K89" i="4" s="1"/>
  <c r="K66" i="3"/>
  <c r="J90" i="4" s="1"/>
  <c r="I67" i="3"/>
  <c r="H110" i="4" s="1"/>
  <c r="J69" i="3"/>
  <c r="I130" i="4" s="1"/>
  <c r="J54" i="3"/>
  <c r="I118" i="4" s="1"/>
  <c r="I119" i="4" s="1"/>
  <c r="M13" i="3"/>
  <c r="L127" i="4" s="1"/>
  <c r="K55" i="3"/>
  <c r="J128" i="4" s="1"/>
  <c r="I53" i="3"/>
  <c r="H108" i="4" s="1"/>
  <c r="H109" i="4" s="1"/>
  <c r="J70" i="3"/>
  <c r="I140" i="4" s="1"/>
  <c r="I141" i="4" s="1"/>
  <c r="I143" i="4" s="1"/>
  <c r="L14" i="3"/>
  <c r="K137" i="4" s="1"/>
  <c r="K147" i="4" s="1"/>
  <c r="M50" i="26" s="1"/>
  <c r="M58" i="26" s="1"/>
  <c r="J68" i="3"/>
  <c r="I120" i="4" s="1"/>
  <c r="K56" i="3"/>
  <c r="J138" i="4" s="1"/>
  <c r="J139" i="4" s="1"/>
  <c r="F119" i="4"/>
  <c r="F131" i="4"/>
  <c r="F133" i="4" s="1"/>
  <c r="M12" i="3"/>
  <c r="L117" i="4" s="1"/>
  <c r="F21" i="4"/>
  <c r="F23" i="4" s="1"/>
  <c r="H64" i="3"/>
  <c r="G18" i="4"/>
  <c r="I50" i="3"/>
  <c r="H48" i="4" s="1"/>
  <c r="H49" i="4" s="1"/>
  <c r="K8" i="3"/>
  <c r="J47" i="4" s="1"/>
  <c r="I17" i="4"/>
  <c r="K7" i="3"/>
  <c r="I7" i="4"/>
  <c r="H20" i="1"/>
  <c r="H48" i="1" s="1"/>
  <c r="J48" i="1" s="1"/>
  <c r="J7" i="1"/>
  <c r="J12" i="1" s="1"/>
  <c r="H150" i="4" l="1"/>
  <c r="J53" i="26" s="1"/>
  <c r="J61" i="26" s="1"/>
  <c r="H111" i="4"/>
  <c r="H113" i="4" s="1"/>
  <c r="H148" i="4"/>
  <c r="J51" i="26" s="1"/>
  <c r="J59" i="26" s="1"/>
  <c r="I121" i="4"/>
  <c r="I123" i="4" s="1"/>
  <c r="H121" i="4"/>
  <c r="H149" i="4"/>
  <c r="J52" i="26" s="1"/>
  <c r="J60" i="26" s="1"/>
  <c r="J129" i="4"/>
  <c r="I131" i="4"/>
  <c r="J91" i="4"/>
  <c r="K60" i="4"/>
  <c r="K100" i="4"/>
  <c r="K58" i="4"/>
  <c r="K59" i="4" s="1"/>
  <c r="K98" i="4"/>
  <c r="J101" i="4"/>
  <c r="N77" i="3"/>
  <c r="I67" i="4"/>
  <c r="K28" i="26" s="1"/>
  <c r="K36" i="26" s="1"/>
  <c r="J77" i="4"/>
  <c r="J37" i="4"/>
  <c r="G20" i="4"/>
  <c r="G50" i="4"/>
  <c r="J61" i="4"/>
  <c r="M57" i="4"/>
  <c r="H50" i="1"/>
  <c r="G63" i="3"/>
  <c r="M52" i="3"/>
  <c r="L88" i="4" s="1"/>
  <c r="L89" i="4" s="1"/>
  <c r="M51" i="3"/>
  <c r="O11" i="3"/>
  <c r="N107" i="4" s="1"/>
  <c r="L66" i="3"/>
  <c r="K90" i="4" s="1"/>
  <c r="O9" i="3"/>
  <c r="N97" i="4" s="1"/>
  <c r="M65" i="3"/>
  <c r="M14" i="3"/>
  <c r="L137" i="4" s="1"/>
  <c r="L147" i="4" s="1"/>
  <c r="N50" i="26" s="1"/>
  <c r="N58" i="26" s="1"/>
  <c r="K70" i="3"/>
  <c r="J140" i="4" s="1"/>
  <c r="J141" i="4" s="1"/>
  <c r="J143" i="4" s="1"/>
  <c r="N12" i="3"/>
  <c r="M117" i="4" s="1"/>
  <c r="N13" i="3"/>
  <c r="M127" i="4" s="1"/>
  <c r="L56" i="3"/>
  <c r="K138" i="4" s="1"/>
  <c r="K139" i="4" s="1"/>
  <c r="J53" i="3"/>
  <c r="I108" i="4" s="1"/>
  <c r="I109" i="4" s="1"/>
  <c r="J67" i="3"/>
  <c r="I110" i="4" s="1"/>
  <c r="I150" i="4" s="1"/>
  <c r="K53" i="26" s="1"/>
  <c r="K61" i="26" s="1"/>
  <c r="K68" i="3"/>
  <c r="J120" i="4" s="1"/>
  <c r="K54" i="3"/>
  <c r="J118" i="4" s="1"/>
  <c r="J119" i="4" s="1"/>
  <c r="L55" i="3"/>
  <c r="K128" i="4" s="1"/>
  <c r="G19" i="4"/>
  <c r="F121" i="4"/>
  <c r="F123" i="4" s="1"/>
  <c r="K69" i="3"/>
  <c r="J130" i="4" s="1"/>
  <c r="I64" i="3"/>
  <c r="H18" i="4"/>
  <c r="H19" i="4" s="1"/>
  <c r="J50" i="3"/>
  <c r="I48" i="4" s="1"/>
  <c r="I27" i="4"/>
  <c r="K6" i="26" s="1"/>
  <c r="K14" i="26" s="1"/>
  <c r="L8" i="3"/>
  <c r="K47" i="4" s="1"/>
  <c r="J17" i="4"/>
  <c r="L7" i="3"/>
  <c r="J7" i="4"/>
  <c r="J20" i="1"/>
  <c r="I111" i="4" l="1"/>
  <c r="I113" i="4" s="1"/>
  <c r="I148" i="4"/>
  <c r="K51" i="26" s="1"/>
  <c r="K59" i="26" s="1"/>
  <c r="I149" i="4"/>
  <c r="K52" i="26" s="1"/>
  <c r="K60" i="26" s="1"/>
  <c r="J148" i="4"/>
  <c r="L51" i="26" s="1"/>
  <c r="L59" i="26" s="1"/>
  <c r="H123" i="4"/>
  <c r="H151" i="4"/>
  <c r="J54" i="26" s="1"/>
  <c r="J62" i="26" s="1"/>
  <c r="J121" i="4"/>
  <c r="J123" i="4" s="1"/>
  <c r="J149" i="4"/>
  <c r="L52" i="26" s="1"/>
  <c r="L60" i="26" s="1"/>
  <c r="K129" i="4"/>
  <c r="J150" i="4"/>
  <c r="L53" i="26" s="1"/>
  <c r="L61" i="26" s="1"/>
  <c r="J131" i="4"/>
  <c r="I133" i="4"/>
  <c r="K91" i="4"/>
  <c r="K93" i="4" s="1"/>
  <c r="J93" i="4"/>
  <c r="K61" i="4"/>
  <c r="K63" i="4" s="1"/>
  <c r="L60" i="4"/>
  <c r="L100" i="4"/>
  <c r="L58" i="4"/>
  <c r="L59" i="4" s="1"/>
  <c r="L98" i="4"/>
  <c r="L99" i="4" s="1"/>
  <c r="J103" i="4"/>
  <c r="K99" i="4"/>
  <c r="K77" i="4"/>
  <c r="K37" i="4"/>
  <c r="J67" i="4"/>
  <c r="L28" i="26" s="1"/>
  <c r="L36" i="26" s="1"/>
  <c r="I49" i="4"/>
  <c r="N57" i="4"/>
  <c r="O77" i="3"/>
  <c r="J63" i="4"/>
  <c r="G51" i="4"/>
  <c r="F10" i="4"/>
  <c r="F80" i="4"/>
  <c r="F150" i="4" s="1"/>
  <c r="H53" i="26" s="1"/>
  <c r="F40" i="4"/>
  <c r="H20" i="4"/>
  <c r="H21" i="4" s="1"/>
  <c r="H23" i="4" s="1"/>
  <c r="H50" i="4"/>
  <c r="H51" i="4" s="1"/>
  <c r="H53" i="4" s="1"/>
  <c r="H63" i="3"/>
  <c r="M66" i="3"/>
  <c r="L90" i="4" s="1"/>
  <c r="L91" i="4" s="1"/>
  <c r="L93" i="4" s="1"/>
  <c r="P11" i="3"/>
  <c r="O107" i="4" s="1"/>
  <c r="N65" i="3"/>
  <c r="P9" i="3"/>
  <c r="O97" i="4" s="1"/>
  <c r="N52" i="3"/>
  <c r="M88" i="4" s="1"/>
  <c r="M89" i="4" s="1"/>
  <c r="N51" i="3"/>
  <c r="L69" i="3"/>
  <c r="K130" i="4" s="1"/>
  <c r="L70" i="3"/>
  <c r="K140" i="4" s="1"/>
  <c r="K141" i="4" s="1"/>
  <c r="K143" i="4" s="1"/>
  <c r="L54" i="3"/>
  <c r="K118" i="4" s="1"/>
  <c r="K119" i="4" s="1"/>
  <c r="K67" i="3"/>
  <c r="J110" i="4" s="1"/>
  <c r="O12" i="3"/>
  <c r="N117" i="4" s="1"/>
  <c r="K53" i="3"/>
  <c r="J108" i="4" s="1"/>
  <c r="J109" i="4" s="1"/>
  <c r="M55" i="3"/>
  <c r="L128" i="4" s="1"/>
  <c r="O13" i="3"/>
  <c r="N127" i="4" s="1"/>
  <c r="G21" i="4"/>
  <c r="N14" i="3"/>
  <c r="M137" i="4" s="1"/>
  <c r="M147" i="4" s="1"/>
  <c r="O50" i="26" s="1"/>
  <c r="O58" i="26" s="1"/>
  <c r="L68" i="3"/>
  <c r="K120" i="4" s="1"/>
  <c r="M56" i="3"/>
  <c r="L138" i="4" s="1"/>
  <c r="L139" i="4" s="1"/>
  <c r="J64" i="3"/>
  <c r="I18" i="4"/>
  <c r="I19" i="4" s="1"/>
  <c r="K50" i="3"/>
  <c r="J48" i="4" s="1"/>
  <c r="J49" i="4" s="1"/>
  <c r="M8" i="3"/>
  <c r="L47" i="4" s="1"/>
  <c r="K17" i="4"/>
  <c r="J27" i="4"/>
  <c r="L6" i="26" s="1"/>
  <c r="L14" i="26" s="1"/>
  <c r="M7" i="3"/>
  <c r="K7" i="4"/>
  <c r="J50" i="1"/>
  <c r="H106" i="1"/>
  <c r="H107" i="1" s="1"/>
  <c r="H61" i="26" l="1"/>
  <c r="L101" i="4"/>
  <c r="L103" i="4" s="1"/>
  <c r="H153" i="4"/>
  <c r="J56" i="26" s="1"/>
  <c r="J64" i="26" s="1"/>
  <c r="I151" i="4"/>
  <c r="K54" i="26" s="1"/>
  <c r="K62" i="26" s="1"/>
  <c r="I153" i="4"/>
  <c r="K56" i="26" s="1"/>
  <c r="K64" i="26" s="1"/>
  <c r="J111" i="4"/>
  <c r="J113" i="4" s="1"/>
  <c r="K149" i="4"/>
  <c r="M52" i="26" s="1"/>
  <c r="M60" i="26" s="1"/>
  <c r="K148" i="4"/>
  <c r="M51" i="26" s="1"/>
  <c r="M59" i="26" s="1"/>
  <c r="K121" i="4"/>
  <c r="K123" i="4" s="1"/>
  <c r="L129" i="4"/>
  <c r="K150" i="4"/>
  <c r="M53" i="26" s="1"/>
  <c r="M61" i="26" s="1"/>
  <c r="K131" i="4"/>
  <c r="J133" i="4"/>
  <c r="J153" i="4" s="1"/>
  <c r="L56" i="26" s="1"/>
  <c r="L64" i="26" s="1"/>
  <c r="J151" i="4"/>
  <c r="L54" i="26" s="1"/>
  <c r="L62" i="26" s="1"/>
  <c r="L61" i="4"/>
  <c r="L63" i="4" s="1"/>
  <c r="Q97" i="4"/>
  <c r="H33" i="5" s="1"/>
  <c r="R97" i="4"/>
  <c r="M60" i="4"/>
  <c r="M100" i="4"/>
  <c r="M58" i="4"/>
  <c r="M59" i="4" s="1"/>
  <c r="M98" i="4"/>
  <c r="M99" i="4" s="1"/>
  <c r="K101" i="4"/>
  <c r="Q107" i="4"/>
  <c r="I33" i="5" s="1"/>
  <c r="R107" i="4"/>
  <c r="F30" i="4"/>
  <c r="H9" i="26" s="1"/>
  <c r="L77" i="4"/>
  <c r="L37" i="4"/>
  <c r="F70" i="4"/>
  <c r="H31" i="26" s="1"/>
  <c r="P77" i="3"/>
  <c r="K67" i="4"/>
  <c r="M28" i="26" s="1"/>
  <c r="M36" i="26" s="1"/>
  <c r="O57" i="4"/>
  <c r="R57" i="4" s="1"/>
  <c r="I63" i="3"/>
  <c r="H10" i="4" s="1"/>
  <c r="G80" i="4"/>
  <c r="G150" i="4" s="1"/>
  <c r="I53" i="26" s="1"/>
  <c r="I61" i="26" s="1"/>
  <c r="G40" i="4"/>
  <c r="G70" i="4" s="1"/>
  <c r="I31" i="26" s="1"/>
  <c r="I39" i="26" s="1"/>
  <c r="I20" i="4"/>
  <c r="I21" i="4" s="1"/>
  <c r="I23" i="4" s="1"/>
  <c r="I50" i="4"/>
  <c r="I51" i="4" s="1"/>
  <c r="G53" i="4"/>
  <c r="G10" i="4"/>
  <c r="O51" i="3"/>
  <c r="O65" i="3"/>
  <c r="N66" i="3"/>
  <c r="M90" i="4" s="1"/>
  <c r="M91" i="4" s="1"/>
  <c r="M93" i="4" s="1"/>
  <c r="G23" i="4"/>
  <c r="O52" i="3"/>
  <c r="N88" i="4" s="1"/>
  <c r="N89" i="4" s="1"/>
  <c r="K27" i="4"/>
  <c r="M6" i="26" s="1"/>
  <c r="M14" i="26" s="1"/>
  <c r="M69" i="3"/>
  <c r="L130" i="4" s="1"/>
  <c r="O14" i="3"/>
  <c r="N137" i="4" s="1"/>
  <c r="N147" i="4" s="1"/>
  <c r="P50" i="26" s="1"/>
  <c r="P58" i="26" s="1"/>
  <c r="N55" i="3"/>
  <c r="M128" i="4" s="1"/>
  <c r="P12" i="3"/>
  <c r="O117" i="4" s="1"/>
  <c r="N56" i="3"/>
  <c r="M138" i="4" s="1"/>
  <c r="M139" i="4" s="1"/>
  <c r="M68" i="3"/>
  <c r="L120" i="4" s="1"/>
  <c r="P13" i="3"/>
  <c r="O127" i="4" s="1"/>
  <c r="L67" i="3"/>
  <c r="K110" i="4" s="1"/>
  <c r="M54" i="3"/>
  <c r="L118" i="4" s="1"/>
  <c r="L119" i="4" s="1"/>
  <c r="L53" i="3"/>
  <c r="K108" i="4" s="1"/>
  <c r="M70" i="3"/>
  <c r="L140" i="4" s="1"/>
  <c r="L141" i="4" s="1"/>
  <c r="L143" i="4" s="1"/>
  <c r="K64" i="3"/>
  <c r="L50" i="3"/>
  <c r="K48" i="4" s="1"/>
  <c r="K49" i="4" s="1"/>
  <c r="J18" i="4"/>
  <c r="J19" i="4" s="1"/>
  <c r="N8" i="3"/>
  <c r="M47" i="4" s="1"/>
  <c r="L17" i="4"/>
  <c r="N7" i="3"/>
  <c r="L7" i="4"/>
  <c r="G49" i="3"/>
  <c r="J107" i="1"/>
  <c r="J106" i="1"/>
  <c r="J116" i="1" s="1"/>
  <c r="J117" i="1" s="1"/>
  <c r="J111" i="1"/>
  <c r="J112" i="1" s="1"/>
  <c r="H39" i="26" l="1"/>
  <c r="H17" i="26"/>
  <c r="M101" i="4"/>
  <c r="M103" i="4" s="1"/>
  <c r="K109" i="4"/>
  <c r="K111" i="4" s="1"/>
  <c r="K113" i="4" s="1"/>
  <c r="L121" i="4"/>
  <c r="L123" i="4" s="1"/>
  <c r="L148" i="4"/>
  <c r="N51" i="26" s="1"/>
  <c r="N59" i="26" s="1"/>
  <c r="L149" i="4"/>
  <c r="N52" i="26" s="1"/>
  <c r="N60" i="26" s="1"/>
  <c r="M129" i="4"/>
  <c r="L150" i="4"/>
  <c r="N53" i="26" s="1"/>
  <c r="N61" i="26" s="1"/>
  <c r="L131" i="4"/>
  <c r="K133" i="4"/>
  <c r="K153" i="4" s="1"/>
  <c r="M56" i="26" s="1"/>
  <c r="M64" i="26" s="1"/>
  <c r="K151" i="4"/>
  <c r="M54" i="26" s="1"/>
  <c r="M62" i="26" s="1"/>
  <c r="M61" i="4"/>
  <c r="M63" i="4" s="1"/>
  <c r="N60" i="4"/>
  <c r="N100" i="4"/>
  <c r="N58" i="4"/>
  <c r="N59" i="4" s="1"/>
  <c r="N98" i="4"/>
  <c r="N99" i="4" s="1"/>
  <c r="K103" i="4"/>
  <c r="Q57" i="4"/>
  <c r="H20" i="5" s="1"/>
  <c r="I53" i="4"/>
  <c r="L67" i="4"/>
  <c r="N28" i="26" s="1"/>
  <c r="J20" i="4"/>
  <c r="J21" i="4" s="1"/>
  <c r="J23" i="4" s="1"/>
  <c r="J50" i="4"/>
  <c r="M77" i="4"/>
  <c r="M37" i="4"/>
  <c r="J63" i="3"/>
  <c r="H80" i="4"/>
  <c r="H40" i="4"/>
  <c r="H70" i="4" s="1"/>
  <c r="J31" i="26" s="1"/>
  <c r="J39" i="26" s="1"/>
  <c r="F78" i="4"/>
  <c r="F148" i="4" s="1"/>
  <c r="H51" i="26" s="1"/>
  <c r="F38" i="4"/>
  <c r="G30" i="4"/>
  <c r="I9" i="26" s="1"/>
  <c r="I17" i="26" s="1"/>
  <c r="O66" i="3"/>
  <c r="N90" i="4" s="1"/>
  <c r="N91" i="4" s="1"/>
  <c r="N93" i="4" s="1"/>
  <c r="P51" i="3"/>
  <c r="O98" i="4" s="1"/>
  <c r="P52" i="3"/>
  <c r="O88" i="4" s="1"/>
  <c r="P65" i="3"/>
  <c r="O100" i="4" s="1"/>
  <c r="N69" i="3"/>
  <c r="M130" i="4" s="1"/>
  <c r="N54" i="3"/>
  <c r="M118" i="4" s="1"/>
  <c r="M119" i="4" s="1"/>
  <c r="N68" i="3"/>
  <c r="M120" i="4" s="1"/>
  <c r="Q117" i="4"/>
  <c r="J33" i="5" s="1"/>
  <c r="R117" i="4"/>
  <c r="N70" i="3"/>
  <c r="M140" i="4" s="1"/>
  <c r="M141" i="4" s="1"/>
  <c r="M143" i="4" s="1"/>
  <c r="M53" i="3"/>
  <c r="L108" i="4" s="1"/>
  <c r="L109" i="4" s="1"/>
  <c r="M67" i="3"/>
  <c r="L110" i="4" s="1"/>
  <c r="O56" i="3"/>
  <c r="N138" i="4" s="1"/>
  <c r="N139" i="4" s="1"/>
  <c r="O55" i="3"/>
  <c r="N128" i="4" s="1"/>
  <c r="H30" i="4"/>
  <c r="J9" i="26" s="1"/>
  <c r="J17" i="26" s="1"/>
  <c r="R127" i="4"/>
  <c r="Q127" i="4"/>
  <c r="K33" i="5" s="1"/>
  <c r="L27" i="4"/>
  <c r="N6" i="26" s="1"/>
  <c r="N14" i="26" s="1"/>
  <c r="P14" i="3"/>
  <c r="O137" i="4" s="1"/>
  <c r="O147" i="4" s="1"/>
  <c r="Q50" i="26" s="1"/>
  <c r="Q58" i="26" s="1"/>
  <c r="T58" i="26" s="1"/>
  <c r="L64" i="3"/>
  <c r="M50" i="3"/>
  <c r="L48" i="4" s="1"/>
  <c r="L49" i="4" s="1"/>
  <c r="K18" i="4"/>
  <c r="K19" i="4" s="1"/>
  <c r="O8" i="3"/>
  <c r="N47" i="4" s="1"/>
  <c r="M17" i="4"/>
  <c r="F8" i="4"/>
  <c r="H49" i="3"/>
  <c r="O7" i="3"/>
  <c r="M7" i="4"/>
  <c r="T50" i="26" l="1"/>
  <c r="S50" i="26"/>
  <c r="S58" i="26"/>
  <c r="H59" i="26"/>
  <c r="N36" i="26"/>
  <c r="L111" i="4"/>
  <c r="L113" i="4" s="1"/>
  <c r="M121" i="4"/>
  <c r="M123" i="4" s="1"/>
  <c r="M149" i="4"/>
  <c r="O52" i="26" s="1"/>
  <c r="O60" i="26" s="1"/>
  <c r="M148" i="4"/>
  <c r="O51" i="26" s="1"/>
  <c r="O59" i="26" s="1"/>
  <c r="N129" i="4"/>
  <c r="L133" i="4"/>
  <c r="L151" i="4"/>
  <c r="N54" i="26" s="1"/>
  <c r="N62" i="26" s="1"/>
  <c r="M150" i="4"/>
  <c r="O53" i="26" s="1"/>
  <c r="O61" i="26" s="1"/>
  <c r="M131" i="4"/>
  <c r="O89" i="4"/>
  <c r="Q88" i="4"/>
  <c r="G34" i="5" s="1"/>
  <c r="R88" i="4"/>
  <c r="N61" i="4"/>
  <c r="N63" i="4" s="1"/>
  <c r="R100" i="4"/>
  <c r="Q100" i="4"/>
  <c r="H36" i="5" s="1"/>
  <c r="N101" i="4"/>
  <c r="O99" i="4"/>
  <c r="O101" i="4" s="1"/>
  <c r="O103" i="4" s="1"/>
  <c r="R98" i="4"/>
  <c r="Q98" i="4"/>
  <c r="H34" i="5" s="1"/>
  <c r="K20" i="4"/>
  <c r="K21" i="4" s="1"/>
  <c r="K23" i="4" s="1"/>
  <c r="K50" i="4"/>
  <c r="K51" i="4" s="1"/>
  <c r="K53" i="4" s="1"/>
  <c r="M67" i="4"/>
  <c r="O28" i="26" s="1"/>
  <c r="O36" i="26" s="1"/>
  <c r="F68" i="4"/>
  <c r="H29" i="26" s="1"/>
  <c r="F39" i="4"/>
  <c r="J51" i="4"/>
  <c r="N77" i="4"/>
  <c r="N37" i="4"/>
  <c r="O60" i="4"/>
  <c r="F79" i="4"/>
  <c r="F149" i="4" s="1"/>
  <c r="H52" i="26" s="1"/>
  <c r="I80" i="4"/>
  <c r="I40" i="4"/>
  <c r="K63" i="3"/>
  <c r="I10" i="4"/>
  <c r="I30" i="4" s="1"/>
  <c r="K9" i="26" s="1"/>
  <c r="K17" i="26" s="1"/>
  <c r="G78" i="4"/>
  <c r="G38" i="4"/>
  <c r="O58" i="4"/>
  <c r="P66" i="3"/>
  <c r="O90" i="4" s="1"/>
  <c r="M27" i="4"/>
  <c r="O6" i="26" s="1"/>
  <c r="O14" i="26" s="1"/>
  <c r="N67" i="3"/>
  <c r="M110" i="4" s="1"/>
  <c r="N53" i="3"/>
  <c r="M108" i="4" s="1"/>
  <c r="M109" i="4" s="1"/>
  <c r="O69" i="3"/>
  <c r="N130" i="4" s="1"/>
  <c r="F28" i="4"/>
  <c r="H7" i="26" s="1"/>
  <c r="O70" i="3"/>
  <c r="N140" i="4" s="1"/>
  <c r="N141" i="4" s="1"/>
  <c r="N143" i="4" s="1"/>
  <c r="Q137" i="4"/>
  <c r="L33" i="5" s="1"/>
  <c r="R137" i="4"/>
  <c r="O68" i="3"/>
  <c r="N120" i="4" s="1"/>
  <c r="P55" i="3"/>
  <c r="O128" i="4" s="1"/>
  <c r="P56" i="3"/>
  <c r="O138" i="4" s="1"/>
  <c r="O139" i="4" s="1"/>
  <c r="O54" i="3"/>
  <c r="N118" i="4" s="1"/>
  <c r="N119" i="4" s="1"/>
  <c r="M64" i="3"/>
  <c r="L18" i="4"/>
  <c r="L19" i="4" s="1"/>
  <c r="N50" i="3"/>
  <c r="M48" i="4" s="1"/>
  <c r="M49" i="4" s="1"/>
  <c r="P8" i="3"/>
  <c r="N17" i="4"/>
  <c r="P7" i="3"/>
  <c r="N7" i="4"/>
  <c r="F9" i="4"/>
  <c r="I49" i="3"/>
  <c r="G8" i="4"/>
  <c r="H15" i="26" l="1"/>
  <c r="H37" i="26"/>
  <c r="H60" i="26"/>
  <c r="L153" i="4"/>
  <c r="N56" i="26" s="1"/>
  <c r="N64" i="26" s="1"/>
  <c r="M111" i="4"/>
  <c r="N149" i="4"/>
  <c r="P52" i="26" s="1"/>
  <c r="P60" i="26" s="1"/>
  <c r="N121" i="4"/>
  <c r="N123" i="4" s="1"/>
  <c r="N148" i="4"/>
  <c r="P51" i="26" s="1"/>
  <c r="P59" i="26" s="1"/>
  <c r="O129" i="4"/>
  <c r="N150" i="4"/>
  <c r="P53" i="26" s="1"/>
  <c r="P61" i="26" s="1"/>
  <c r="N131" i="4"/>
  <c r="M133" i="4"/>
  <c r="M153" i="4" s="1"/>
  <c r="O56" i="26" s="1"/>
  <c r="O64" i="26" s="1"/>
  <c r="M151" i="4"/>
  <c r="O54" i="26" s="1"/>
  <c r="O62" i="26" s="1"/>
  <c r="R90" i="4"/>
  <c r="Q90" i="4"/>
  <c r="G36" i="5" s="1"/>
  <c r="O91" i="4"/>
  <c r="R89" i="4"/>
  <c r="Q89" i="4"/>
  <c r="G35" i="5" s="1"/>
  <c r="Q99" i="4"/>
  <c r="H35" i="5" s="1"/>
  <c r="N103" i="4"/>
  <c r="Q101" i="4"/>
  <c r="H37" i="5" s="1"/>
  <c r="R101" i="4"/>
  <c r="R99" i="4"/>
  <c r="G79" i="4"/>
  <c r="G148" i="4"/>
  <c r="I51" i="26" s="1"/>
  <c r="O17" i="4"/>
  <c r="R17" i="4" s="1"/>
  <c r="O47" i="4"/>
  <c r="N67" i="4"/>
  <c r="P28" i="26" s="1"/>
  <c r="P36" i="26" s="1"/>
  <c r="H78" i="4"/>
  <c r="H79" i="4" s="1"/>
  <c r="H81" i="4" s="1"/>
  <c r="H83" i="4" s="1"/>
  <c r="H38" i="4"/>
  <c r="G68" i="4"/>
  <c r="I29" i="26" s="1"/>
  <c r="I37" i="26" s="1"/>
  <c r="G39" i="4"/>
  <c r="J53" i="4"/>
  <c r="F81" i="4"/>
  <c r="F151" i="4" s="1"/>
  <c r="H54" i="26" s="1"/>
  <c r="I70" i="4"/>
  <c r="K31" i="26" s="1"/>
  <c r="L20" i="4"/>
  <c r="L50" i="4"/>
  <c r="R60" i="4"/>
  <c r="Q60" i="4"/>
  <c r="H23" i="5" s="1"/>
  <c r="F69" i="4"/>
  <c r="H30" i="26" s="1"/>
  <c r="F41" i="4"/>
  <c r="O7" i="4"/>
  <c r="Q7" i="4" s="1"/>
  <c r="O77" i="4"/>
  <c r="O37" i="4"/>
  <c r="Q58" i="4"/>
  <c r="H21" i="5" s="1"/>
  <c r="R58" i="4"/>
  <c r="O59" i="4"/>
  <c r="J80" i="4"/>
  <c r="J40" i="4"/>
  <c r="J70" i="4" s="1"/>
  <c r="L31" i="26" s="1"/>
  <c r="L39" i="26" s="1"/>
  <c r="L63" i="3"/>
  <c r="J10" i="4"/>
  <c r="J30" i="4" s="1"/>
  <c r="L9" i="26" s="1"/>
  <c r="R147" i="4"/>
  <c r="Q147" i="4"/>
  <c r="M33" i="5" s="1"/>
  <c r="Q138" i="4"/>
  <c r="L34" i="5" s="1"/>
  <c r="R138" i="4"/>
  <c r="P54" i="3"/>
  <c r="O118" i="4" s="1"/>
  <c r="O119" i="4" s="1"/>
  <c r="F29" i="4"/>
  <c r="H8" i="26" s="1"/>
  <c r="P69" i="3"/>
  <c r="O130" i="4" s="1"/>
  <c r="O67" i="3"/>
  <c r="N110" i="4" s="1"/>
  <c r="P70" i="3"/>
  <c r="O140" i="4" s="1"/>
  <c r="O141" i="4" s="1"/>
  <c r="O143" i="4" s="1"/>
  <c r="O53" i="3"/>
  <c r="N108" i="4" s="1"/>
  <c r="N109" i="4" s="1"/>
  <c r="P68" i="3"/>
  <c r="O120" i="4" s="1"/>
  <c r="N64" i="3"/>
  <c r="M18" i="4"/>
  <c r="M19" i="4" s="1"/>
  <c r="O50" i="3"/>
  <c r="N48" i="4" s="1"/>
  <c r="N49" i="4" s="1"/>
  <c r="N27" i="4"/>
  <c r="P6" i="26" s="1"/>
  <c r="P14" i="26" s="1"/>
  <c r="G9" i="4"/>
  <c r="G28" i="4"/>
  <c r="I7" i="26" s="1"/>
  <c r="I15" i="26" s="1"/>
  <c r="F11" i="4"/>
  <c r="J49" i="3"/>
  <c r="H8" i="4"/>
  <c r="L17" i="26" l="1"/>
  <c r="K39" i="26"/>
  <c r="H38" i="26"/>
  <c r="H62" i="26"/>
  <c r="H16" i="26"/>
  <c r="I59" i="26"/>
  <c r="Q17" i="4"/>
  <c r="G7" i="5" s="1"/>
  <c r="N111" i="4"/>
  <c r="N113" i="4" s="1"/>
  <c r="M113" i="4"/>
  <c r="O121" i="4"/>
  <c r="O123" i="4" s="1"/>
  <c r="O149" i="4"/>
  <c r="Q52" i="26" s="1"/>
  <c r="Q60" i="26" s="1"/>
  <c r="O148" i="4"/>
  <c r="Q51" i="26" s="1"/>
  <c r="Q59" i="26" s="1"/>
  <c r="N133" i="4"/>
  <c r="N151" i="4"/>
  <c r="P54" i="26" s="1"/>
  <c r="P62" i="26" s="1"/>
  <c r="O150" i="4"/>
  <c r="Q53" i="26" s="1"/>
  <c r="Q61" i="26" s="1"/>
  <c r="T61" i="26" s="1"/>
  <c r="O131" i="4"/>
  <c r="O93" i="4"/>
  <c r="Q91" i="4"/>
  <c r="G37" i="5" s="1"/>
  <c r="R91" i="4"/>
  <c r="R103" i="4"/>
  <c r="Q103" i="4"/>
  <c r="G81" i="4"/>
  <c r="G149" i="4"/>
  <c r="I52" i="26" s="1"/>
  <c r="G69" i="4"/>
  <c r="I30" i="26" s="1"/>
  <c r="I38" i="26" s="1"/>
  <c r="G41" i="4"/>
  <c r="F43" i="4"/>
  <c r="F71" i="4"/>
  <c r="H32" i="26" s="1"/>
  <c r="O61" i="4"/>
  <c r="Q59" i="4"/>
  <c r="H22" i="5" s="1"/>
  <c r="R59" i="4"/>
  <c r="H68" i="4"/>
  <c r="J29" i="26" s="1"/>
  <c r="J37" i="26" s="1"/>
  <c r="H39" i="4"/>
  <c r="Q47" i="4"/>
  <c r="G20" i="5" s="1"/>
  <c r="R47" i="4"/>
  <c r="O27" i="4"/>
  <c r="K80" i="4"/>
  <c r="K40" i="4"/>
  <c r="K70" i="4" s="1"/>
  <c r="M31" i="26" s="1"/>
  <c r="M39" i="26" s="1"/>
  <c r="M63" i="3"/>
  <c r="K10" i="4"/>
  <c r="K30" i="4" s="1"/>
  <c r="M9" i="26" s="1"/>
  <c r="M17" i="26" s="1"/>
  <c r="R7" i="4"/>
  <c r="M20" i="4"/>
  <c r="M21" i="4" s="1"/>
  <c r="M23" i="4" s="1"/>
  <c r="M50" i="4"/>
  <c r="M51" i="4" s="1"/>
  <c r="M53" i="4" s="1"/>
  <c r="O67" i="4"/>
  <c r="Q37" i="4"/>
  <c r="F20" i="5" s="1"/>
  <c r="R37" i="4"/>
  <c r="F83" i="4"/>
  <c r="I78" i="4"/>
  <c r="I38" i="4"/>
  <c r="R77" i="4"/>
  <c r="Q77" i="4"/>
  <c r="F33" i="5" s="1"/>
  <c r="L51" i="4"/>
  <c r="F13" i="4"/>
  <c r="F7" i="5"/>
  <c r="Q128" i="4"/>
  <c r="K34" i="5" s="1"/>
  <c r="R128" i="4"/>
  <c r="P67" i="3"/>
  <c r="O110" i="4" s="1"/>
  <c r="R140" i="4"/>
  <c r="Q140" i="4"/>
  <c r="L36" i="5" s="1"/>
  <c r="H28" i="4"/>
  <c r="J7" i="26" s="1"/>
  <c r="J15" i="26" s="1"/>
  <c r="P53" i="3"/>
  <c r="O108" i="4" s="1"/>
  <c r="R130" i="4"/>
  <c r="Q130" i="4"/>
  <c r="K36" i="5" s="1"/>
  <c r="F31" i="4"/>
  <c r="H10" i="26" s="1"/>
  <c r="Q139" i="4"/>
  <c r="L35" i="5" s="1"/>
  <c r="R139" i="4"/>
  <c r="O64" i="3"/>
  <c r="L21" i="4"/>
  <c r="L23" i="4" s="1"/>
  <c r="P50" i="3"/>
  <c r="N18" i="4"/>
  <c r="G11" i="4"/>
  <c r="G29" i="4"/>
  <c r="I8" i="26" s="1"/>
  <c r="I16" i="26" s="1"/>
  <c r="K49" i="3"/>
  <c r="I8" i="4"/>
  <c r="I28" i="4" s="1"/>
  <c r="K7" i="26" s="1"/>
  <c r="K15" i="26" s="1"/>
  <c r="H9" i="4"/>
  <c r="T51" i="26" l="1"/>
  <c r="T53" i="26"/>
  <c r="S53" i="26"/>
  <c r="S61" i="26"/>
  <c r="S51" i="26"/>
  <c r="H18" i="26"/>
  <c r="I60" i="26"/>
  <c r="S52" i="26"/>
  <c r="T52" i="26"/>
  <c r="Q67" i="4"/>
  <c r="I20" i="5" s="1"/>
  <c r="Q28" i="26"/>
  <c r="Q27" i="4"/>
  <c r="H7" i="5" s="1"/>
  <c r="Q6" i="26"/>
  <c r="H40" i="26"/>
  <c r="T59" i="26"/>
  <c r="S59" i="26"/>
  <c r="R27" i="4"/>
  <c r="F153" i="4"/>
  <c r="H56" i="26" s="1"/>
  <c r="N153" i="4"/>
  <c r="P56" i="26" s="1"/>
  <c r="P64" i="26" s="1"/>
  <c r="Q110" i="4"/>
  <c r="I36" i="5" s="1"/>
  <c r="R110" i="4"/>
  <c r="O109" i="4"/>
  <c r="R108" i="4"/>
  <c r="Q108" i="4"/>
  <c r="I34" i="5" s="1"/>
  <c r="R150" i="4"/>
  <c r="O133" i="4"/>
  <c r="O153" i="4" s="1"/>
  <c r="Q56" i="26" s="1"/>
  <c r="Q64" i="26" s="1"/>
  <c r="O151" i="4"/>
  <c r="Q54" i="26" s="1"/>
  <c r="Q62" i="26" s="1"/>
  <c r="Q93" i="4"/>
  <c r="R93" i="4"/>
  <c r="G83" i="4"/>
  <c r="G153" i="4" s="1"/>
  <c r="I56" i="26" s="1"/>
  <c r="I64" i="26" s="1"/>
  <c r="G151" i="4"/>
  <c r="I54" i="26" s="1"/>
  <c r="L80" i="4"/>
  <c r="L40" i="4"/>
  <c r="L70" i="4" s="1"/>
  <c r="N31" i="26" s="1"/>
  <c r="N39" i="26" s="1"/>
  <c r="N63" i="3"/>
  <c r="L10" i="4"/>
  <c r="L30" i="4" s="1"/>
  <c r="N9" i="26" s="1"/>
  <c r="G71" i="4"/>
  <c r="I32" i="26" s="1"/>
  <c r="I40" i="26" s="1"/>
  <c r="G43" i="4"/>
  <c r="G73" i="4" s="1"/>
  <c r="I34" i="26" s="1"/>
  <c r="I42" i="26" s="1"/>
  <c r="O18" i="4"/>
  <c r="O19" i="4" s="1"/>
  <c r="O48" i="4"/>
  <c r="I68" i="4"/>
  <c r="K29" i="26" s="1"/>
  <c r="K37" i="26" s="1"/>
  <c r="I39" i="4"/>
  <c r="I79" i="4"/>
  <c r="H41" i="4"/>
  <c r="H69" i="4"/>
  <c r="J30" i="26" s="1"/>
  <c r="J78" i="4"/>
  <c r="J79" i="4" s="1"/>
  <c r="J81" i="4" s="1"/>
  <c r="J83" i="4" s="1"/>
  <c r="J38" i="4"/>
  <c r="N20" i="4"/>
  <c r="N50" i="4"/>
  <c r="N51" i="4" s="1"/>
  <c r="N53" i="4" s="1"/>
  <c r="O63" i="4"/>
  <c r="R61" i="4"/>
  <c r="Q61" i="4"/>
  <c r="H24" i="5" s="1"/>
  <c r="R67" i="4"/>
  <c r="L53" i="4"/>
  <c r="F73" i="4"/>
  <c r="H34" i="26" s="1"/>
  <c r="Q129" i="4"/>
  <c r="K35" i="5" s="1"/>
  <c r="G13" i="4"/>
  <c r="Q150" i="4"/>
  <c r="M36" i="5" s="1"/>
  <c r="F33" i="4"/>
  <c r="H12" i="26" s="1"/>
  <c r="R148" i="4"/>
  <c r="R143" i="4"/>
  <c r="Q143" i="4"/>
  <c r="R131" i="4"/>
  <c r="R118" i="4"/>
  <c r="Q141" i="4"/>
  <c r="L37" i="5" s="1"/>
  <c r="R141" i="4"/>
  <c r="H29" i="4"/>
  <c r="J8" i="26" s="1"/>
  <c r="Q131" i="4"/>
  <c r="K37" i="5" s="1"/>
  <c r="R120" i="4"/>
  <c r="Q120" i="4"/>
  <c r="J36" i="5" s="1"/>
  <c r="R129" i="4"/>
  <c r="G31" i="4"/>
  <c r="I10" i="26" s="1"/>
  <c r="I18" i="26" s="1"/>
  <c r="Q118" i="4"/>
  <c r="J34" i="5" s="1"/>
  <c r="P64" i="3"/>
  <c r="O50" i="4" s="1"/>
  <c r="N19" i="4"/>
  <c r="L49" i="3"/>
  <c r="J8" i="4"/>
  <c r="J28" i="4" s="1"/>
  <c r="L7" i="26" s="1"/>
  <c r="L15" i="26" s="1"/>
  <c r="H11" i="4"/>
  <c r="I9" i="4"/>
  <c r="N17" i="26" l="1"/>
  <c r="I62" i="26"/>
  <c r="T54" i="26"/>
  <c r="S54" i="26"/>
  <c r="Q14" i="26"/>
  <c r="T6" i="26"/>
  <c r="S6" i="26"/>
  <c r="H42" i="26"/>
  <c r="Q36" i="26"/>
  <c r="T28" i="26"/>
  <c r="S28" i="26"/>
  <c r="J38" i="26"/>
  <c r="H20" i="26"/>
  <c r="J16" i="26"/>
  <c r="T56" i="26"/>
  <c r="H64" i="26"/>
  <c r="S56" i="26"/>
  <c r="S60" i="26"/>
  <c r="T60" i="26"/>
  <c r="O111" i="4"/>
  <c r="R109" i="4"/>
  <c r="Q109" i="4"/>
  <c r="I35" i="5" s="1"/>
  <c r="R133" i="4"/>
  <c r="Q133" i="4"/>
  <c r="R18" i="4"/>
  <c r="Q18" i="4"/>
  <c r="G8" i="5" s="1"/>
  <c r="K78" i="4"/>
  <c r="K38" i="4"/>
  <c r="Q63" i="4"/>
  <c r="R63" i="4"/>
  <c r="M80" i="4"/>
  <c r="M40" i="4"/>
  <c r="M70" i="4" s="1"/>
  <c r="O31" i="26" s="1"/>
  <c r="O39" i="26" s="1"/>
  <c r="M10" i="4"/>
  <c r="M30" i="4" s="1"/>
  <c r="O9" i="26" s="1"/>
  <c r="O17" i="26" s="1"/>
  <c r="O63" i="3"/>
  <c r="I41" i="4"/>
  <c r="I69" i="4"/>
  <c r="K30" i="26" s="1"/>
  <c r="K38" i="26" s="1"/>
  <c r="H43" i="4"/>
  <c r="H71" i="4"/>
  <c r="J32" i="26" s="1"/>
  <c r="R48" i="4"/>
  <c r="Q48" i="4"/>
  <c r="G21" i="5" s="1"/>
  <c r="O49" i="4"/>
  <c r="Q50" i="4"/>
  <c r="G23" i="5" s="1"/>
  <c r="R50" i="4"/>
  <c r="J68" i="4"/>
  <c r="L29" i="26" s="1"/>
  <c r="L37" i="26" s="1"/>
  <c r="J39" i="4"/>
  <c r="I81" i="4"/>
  <c r="H13" i="4"/>
  <c r="Q148" i="4"/>
  <c r="M34" i="5" s="1"/>
  <c r="Q119" i="4"/>
  <c r="J35" i="5" s="1"/>
  <c r="G33" i="4"/>
  <c r="I12" i="26" s="1"/>
  <c r="I20" i="26" s="1"/>
  <c r="O20" i="4"/>
  <c r="R20" i="4" s="1"/>
  <c r="H31" i="4"/>
  <c r="J10" i="26" s="1"/>
  <c r="J18" i="26" s="1"/>
  <c r="R119" i="4"/>
  <c r="N21" i="4"/>
  <c r="N23" i="4" s="1"/>
  <c r="R19" i="4"/>
  <c r="Q19" i="4"/>
  <c r="I11" i="4"/>
  <c r="I29" i="4"/>
  <c r="K8" i="26" s="1"/>
  <c r="K16" i="26" s="1"/>
  <c r="J9" i="4"/>
  <c r="M49" i="3"/>
  <c r="K8" i="4"/>
  <c r="S64" i="26" l="1"/>
  <c r="T64" i="26"/>
  <c r="S62" i="26"/>
  <c r="T62" i="26"/>
  <c r="T36" i="26"/>
  <c r="S36" i="26"/>
  <c r="T14" i="26"/>
  <c r="S14" i="26"/>
  <c r="J40" i="26"/>
  <c r="O113" i="4"/>
  <c r="Q111" i="4"/>
  <c r="I37" i="5" s="1"/>
  <c r="R111" i="4"/>
  <c r="I71" i="4"/>
  <c r="K32" i="26" s="1"/>
  <c r="K40" i="26" s="1"/>
  <c r="I43" i="4"/>
  <c r="I73" i="4" s="1"/>
  <c r="K34" i="26" s="1"/>
  <c r="K42" i="26" s="1"/>
  <c r="N80" i="4"/>
  <c r="N40" i="4"/>
  <c r="N70" i="4" s="1"/>
  <c r="P31" i="26" s="1"/>
  <c r="P39" i="26" s="1"/>
  <c r="N10" i="4"/>
  <c r="N30" i="4" s="1"/>
  <c r="P9" i="26" s="1"/>
  <c r="P17" i="26" s="1"/>
  <c r="P63" i="3"/>
  <c r="H73" i="4"/>
  <c r="J34" i="26" s="1"/>
  <c r="K79" i="4"/>
  <c r="K68" i="4"/>
  <c r="M29" i="26" s="1"/>
  <c r="M37" i="26" s="1"/>
  <c r="K39" i="4"/>
  <c r="I83" i="4"/>
  <c r="J41" i="4"/>
  <c r="J69" i="4"/>
  <c r="L30" i="26" s="1"/>
  <c r="L38" i="26" s="1"/>
  <c r="O51" i="4"/>
  <c r="Q49" i="4"/>
  <c r="G22" i="5" s="1"/>
  <c r="R49" i="4"/>
  <c r="L78" i="4"/>
  <c r="L79" i="4" s="1"/>
  <c r="L81" i="4" s="1"/>
  <c r="L83" i="4" s="1"/>
  <c r="L38" i="4"/>
  <c r="Q149" i="4"/>
  <c r="M35" i="5" s="1"/>
  <c r="R149" i="4"/>
  <c r="R121" i="4"/>
  <c r="H33" i="4"/>
  <c r="J12" i="26" s="1"/>
  <c r="Q20" i="4"/>
  <c r="O21" i="4"/>
  <c r="O23" i="4" s="1"/>
  <c r="Q23" i="4" s="1"/>
  <c r="G9" i="5"/>
  <c r="I31" i="4"/>
  <c r="K10" i="26" s="1"/>
  <c r="K18" i="26" s="1"/>
  <c r="I13" i="4"/>
  <c r="I33" i="4" s="1"/>
  <c r="K12" i="26" s="1"/>
  <c r="K20" i="26" s="1"/>
  <c r="Q121" i="4"/>
  <c r="J37" i="5" s="1"/>
  <c r="J11" i="4"/>
  <c r="J29" i="4"/>
  <c r="L8" i="26" s="1"/>
  <c r="L16" i="26" s="1"/>
  <c r="K9" i="4"/>
  <c r="K28" i="4"/>
  <c r="M7" i="26" s="1"/>
  <c r="N49" i="3"/>
  <c r="L8" i="4"/>
  <c r="J20" i="26" l="1"/>
  <c r="M15" i="26"/>
  <c r="J42" i="26"/>
  <c r="R113" i="4"/>
  <c r="Q113" i="4"/>
  <c r="J43" i="4"/>
  <c r="J71" i="4"/>
  <c r="L32" i="26" s="1"/>
  <c r="L40" i="26" s="1"/>
  <c r="M78" i="4"/>
  <c r="M38" i="4"/>
  <c r="L68" i="4"/>
  <c r="N29" i="26" s="1"/>
  <c r="N37" i="26" s="1"/>
  <c r="L39" i="4"/>
  <c r="K81" i="4"/>
  <c r="O53" i="4"/>
  <c r="R51" i="4"/>
  <c r="Q51" i="4"/>
  <c r="G24" i="5" s="1"/>
  <c r="O10" i="4"/>
  <c r="O80" i="4"/>
  <c r="O40" i="4"/>
  <c r="K69" i="4"/>
  <c r="M30" i="26" s="1"/>
  <c r="M38" i="26" s="1"/>
  <c r="K41" i="4"/>
  <c r="Q151" i="4"/>
  <c r="M37" i="5" s="1"/>
  <c r="R153" i="4"/>
  <c r="R123" i="4"/>
  <c r="Q123" i="4"/>
  <c r="R151" i="4"/>
  <c r="R23" i="4"/>
  <c r="G10" i="5"/>
  <c r="Q21" i="4"/>
  <c r="R21" i="4"/>
  <c r="J31" i="4"/>
  <c r="L10" i="26" s="1"/>
  <c r="J13" i="4"/>
  <c r="J33" i="4" s="1"/>
  <c r="L12" i="26" s="1"/>
  <c r="L20" i="26" s="1"/>
  <c r="L9" i="4"/>
  <c r="L28" i="4"/>
  <c r="N7" i="26" s="1"/>
  <c r="N15" i="26" s="1"/>
  <c r="K11" i="4"/>
  <c r="K29" i="4"/>
  <c r="M8" i="26" s="1"/>
  <c r="M16" i="26" s="1"/>
  <c r="O49" i="3"/>
  <c r="M8" i="4"/>
  <c r="L18" i="26" l="1"/>
  <c r="J73" i="4"/>
  <c r="L34" i="26" s="1"/>
  <c r="K83" i="4"/>
  <c r="L41" i="4"/>
  <c r="L69" i="4"/>
  <c r="N30" i="26" s="1"/>
  <c r="N38" i="26" s="1"/>
  <c r="Q80" i="4"/>
  <c r="F36" i="5" s="1"/>
  <c r="R80" i="4"/>
  <c r="R10" i="4"/>
  <c r="O30" i="4"/>
  <c r="Q9" i="26" s="1"/>
  <c r="Q10" i="4"/>
  <c r="K43" i="4"/>
  <c r="K71" i="4"/>
  <c r="M32" i="26" s="1"/>
  <c r="M40" i="26" s="1"/>
  <c r="M68" i="4"/>
  <c r="O29" i="26" s="1"/>
  <c r="O37" i="26" s="1"/>
  <c r="M39" i="4"/>
  <c r="R53" i="4"/>
  <c r="Q53" i="4"/>
  <c r="M79" i="4"/>
  <c r="N78" i="4"/>
  <c r="N79" i="4" s="1"/>
  <c r="N81" i="4" s="1"/>
  <c r="N83" i="4" s="1"/>
  <c r="N38" i="4"/>
  <c r="O70" i="4"/>
  <c r="Q31" i="26" s="1"/>
  <c r="Q40" i="4"/>
  <c r="F23" i="5" s="1"/>
  <c r="R40" i="4"/>
  <c r="Q153" i="4"/>
  <c r="G11" i="5"/>
  <c r="K31" i="4"/>
  <c r="M10" i="26" s="1"/>
  <c r="K13" i="4"/>
  <c r="K33" i="4" s="1"/>
  <c r="M12" i="26" s="1"/>
  <c r="M20" i="26" s="1"/>
  <c r="M9" i="4"/>
  <c r="M28" i="4"/>
  <c r="O7" i="26" s="1"/>
  <c r="O15" i="26" s="1"/>
  <c r="L11" i="4"/>
  <c r="L29" i="4"/>
  <c r="N8" i="26" s="1"/>
  <c r="N16" i="26" s="1"/>
  <c r="P49" i="3"/>
  <c r="N8" i="4"/>
  <c r="Q39" i="26" l="1"/>
  <c r="T31" i="26"/>
  <c r="S31" i="26"/>
  <c r="Q17" i="26"/>
  <c r="S9" i="26"/>
  <c r="T9" i="26"/>
  <c r="L42" i="26"/>
  <c r="M18" i="26"/>
  <c r="M41" i="4"/>
  <c r="M69" i="4"/>
  <c r="O30" i="26" s="1"/>
  <c r="O38" i="26" s="1"/>
  <c r="M81" i="4"/>
  <c r="L43" i="4"/>
  <c r="L73" i="4" s="1"/>
  <c r="N34" i="26" s="1"/>
  <c r="N42" i="26" s="1"/>
  <c r="L71" i="4"/>
  <c r="N32" i="26" s="1"/>
  <c r="N40" i="26" s="1"/>
  <c r="F10" i="5"/>
  <c r="N68" i="4"/>
  <c r="P29" i="26" s="1"/>
  <c r="P37" i="26" s="1"/>
  <c r="N39" i="4"/>
  <c r="O8" i="4"/>
  <c r="O28" i="4" s="1"/>
  <c r="Q7" i="26" s="1"/>
  <c r="O78" i="4"/>
  <c r="O38" i="4"/>
  <c r="K73" i="4"/>
  <c r="M34" i="26" s="1"/>
  <c r="M42" i="26" s="1"/>
  <c r="R70" i="4"/>
  <c r="Q70" i="4"/>
  <c r="I23" i="5" s="1"/>
  <c r="Q30" i="4"/>
  <c r="H10" i="5" s="1"/>
  <c r="R30" i="4"/>
  <c r="L31" i="4"/>
  <c r="N10" i="26" s="1"/>
  <c r="N18" i="26" s="1"/>
  <c r="L13" i="4"/>
  <c r="L33" i="4" s="1"/>
  <c r="N12" i="26" s="1"/>
  <c r="N20" i="26" s="1"/>
  <c r="N9" i="4"/>
  <c r="N28" i="4"/>
  <c r="P7" i="26" s="1"/>
  <c r="P15" i="26" s="1"/>
  <c r="M11" i="4"/>
  <c r="M29" i="4"/>
  <c r="O8" i="26" s="1"/>
  <c r="O16" i="26" s="1"/>
  <c r="T17" i="26" l="1"/>
  <c r="S17" i="26"/>
  <c r="S39" i="26"/>
  <c r="T39" i="26"/>
  <c r="Q15" i="26"/>
  <c r="T7" i="26"/>
  <c r="S7" i="26"/>
  <c r="O9" i="4"/>
  <c r="O29" i="4" s="1"/>
  <c r="Q8" i="26" s="1"/>
  <c r="Q8" i="4"/>
  <c r="F8" i="5" s="1"/>
  <c r="O68" i="4"/>
  <c r="Q29" i="26" s="1"/>
  <c r="O39" i="4"/>
  <c r="Q38" i="4"/>
  <c r="F21" i="5" s="1"/>
  <c r="R38" i="4"/>
  <c r="R28" i="4"/>
  <c r="N41" i="4"/>
  <c r="N69" i="4"/>
  <c r="P30" i="26" s="1"/>
  <c r="P38" i="26" s="1"/>
  <c r="M83" i="4"/>
  <c r="O79" i="4"/>
  <c r="R78" i="4"/>
  <c r="Q78" i="4"/>
  <c r="F34" i="5" s="1"/>
  <c r="R8" i="4"/>
  <c r="M43" i="4"/>
  <c r="M71" i="4"/>
  <c r="O32" i="26" s="1"/>
  <c r="O40" i="26" s="1"/>
  <c r="M31" i="4"/>
  <c r="O10" i="26" s="1"/>
  <c r="O18" i="26" s="1"/>
  <c r="M13" i="4"/>
  <c r="M33" i="4" s="1"/>
  <c r="O12" i="26" s="1"/>
  <c r="O20" i="26" s="1"/>
  <c r="Q28" i="4"/>
  <c r="N11" i="4"/>
  <c r="N29" i="4"/>
  <c r="P8" i="26" s="1"/>
  <c r="P16" i="26" s="1"/>
  <c r="T15" i="26" l="1"/>
  <c r="S15" i="26"/>
  <c r="Q37" i="26"/>
  <c r="S29" i="26"/>
  <c r="T29" i="26"/>
  <c r="Q16" i="26"/>
  <c r="T8" i="26"/>
  <c r="S8" i="26"/>
  <c r="M73" i="4"/>
  <c r="O34" i="26" s="1"/>
  <c r="R9" i="4"/>
  <c r="Q9" i="4"/>
  <c r="F9" i="5" s="1"/>
  <c r="O11" i="4"/>
  <c r="O31" i="4" s="1"/>
  <c r="Q10" i="26" s="1"/>
  <c r="R29" i="4"/>
  <c r="O81" i="4"/>
  <c r="R79" i="4"/>
  <c r="Q79" i="4"/>
  <c r="F35" i="5" s="1"/>
  <c r="N43" i="4"/>
  <c r="N73" i="4" s="1"/>
  <c r="P34" i="26" s="1"/>
  <c r="P42" i="26" s="1"/>
  <c r="N71" i="4"/>
  <c r="P32" i="26" s="1"/>
  <c r="P40" i="26" s="1"/>
  <c r="O41" i="4"/>
  <c r="O69" i="4"/>
  <c r="Q30" i="26" s="1"/>
  <c r="Q39" i="4"/>
  <c r="F22" i="5" s="1"/>
  <c r="R39" i="4"/>
  <c r="R68" i="4"/>
  <c r="Q68" i="4"/>
  <c r="I21" i="5" s="1"/>
  <c r="H8" i="5"/>
  <c r="N31" i="4"/>
  <c r="P10" i="26" s="1"/>
  <c r="P18" i="26" s="1"/>
  <c r="N13" i="4"/>
  <c r="N33" i="4" s="1"/>
  <c r="P12" i="26" s="1"/>
  <c r="P20" i="26" s="1"/>
  <c r="Q29" i="4"/>
  <c r="R11" i="4" l="1"/>
  <c r="T16" i="26"/>
  <c r="S16" i="26"/>
  <c r="Q38" i="26"/>
  <c r="S30" i="26"/>
  <c r="T30" i="26"/>
  <c r="Q18" i="26"/>
  <c r="T10" i="26"/>
  <c r="S10" i="26"/>
  <c r="T37" i="26"/>
  <c r="S37" i="26"/>
  <c r="O42" i="26"/>
  <c r="O13" i="4"/>
  <c r="O33" i="4" s="1"/>
  <c r="Q12" i="26" s="1"/>
  <c r="Q11" i="4"/>
  <c r="F11" i="5" s="1"/>
  <c r="O83" i="4"/>
  <c r="R81" i="4"/>
  <c r="Q81" i="4"/>
  <c r="F37" i="5" s="1"/>
  <c r="R69" i="4"/>
  <c r="Q69" i="4"/>
  <c r="I22" i="5" s="1"/>
  <c r="O43" i="4"/>
  <c r="O71" i="4"/>
  <c r="Q32" i="26" s="1"/>
  <c r="R41" i="4"/>
  <c r="Q41" i="4"/>
  <c r="F24" i="5" s="1"/>
  <c r="H9" i="5"/>
  <c r="R31" i="4"/>
  <c r="Q31" i="4"/>
  <c r="Q20" i="26" l="1"/>
  <c r="T12" i="26"/>
  <c r="S12" i="26"/>
  <c r="Q40" i="26"/>
  <c r="T32" i="26"/>
  <c r="S32" i="26"/>
  <c r="T38" i="26"/>
  <c r="S38" i="26"/>
  <c r="T18" i="26"/>
  <c r="S18" i="26"/>
  <c r="Q33" i="4"/>
  <c r="R33" i="4"/>
  <c r="Q13" i="4"/>
  <c r="R13" i="4"/>
  <c r="R71" i="4"/>
  <c r="Q71" i="4"/>
  <c r="I24" i="5" s="1"/>
  <c r="O73" i="4"/>
  <c r="Q34" i="26" s="1"/>
  <c r="Q43" i="4"/>
  <c r="R43" i="4"/>
  <c r="Q83" i="4"/>
  <c r="R83" i="4"/>
  <c r="H11" i="5"/>
  <c r="T40" i="26" l="1"/>
  <c r="S40" i="26"/>
  <c r="Q42" i="26"/>
  <c r="T34" i="26"/>
  <c r="S34" i="26"/>
  <c r="S20" i="26"/>
  <c r="T20" i="26"/>
  <c r="R73" i="4"/>
  <c r="Q73" i="4"/>
  <c r="S42" i="26" l="1"/>
  <c r="T42" i="26"/>
</calcChain>
</file>

<file path=xl/sharedStrings.xml><?xml version="1.0" encoding="utf-8"?>
<sst xmlns="http://schemas.openxmlformats.org/spreadsheetml/2006/main" count="1395" uniqueCount="218">
  <si>
    <t>Conventional Corn</t>
  </si>
  <si>
    <t>Gross Revenue:</t>
  </si>
  <si>
    <t>Crop Price</t>
  </si>
  <si>
    <t>Crop Yield</t>
  </si>
  <si>
    <t>Government Payments</t>
  </si>
  <si>
    <t>Crop Insurance Idemnity Payments</t>
  </si>
  <si>
    <t>Total</t>
  </si>
  <si>
    <t>Seed:</t>
  </si>
  <si>
    <t>Seed Cost</t>
  </si>
  <si>
    <t>Crop Revenue</t>
  </si>
  <si>
    <t xml:space="preserve">Miscellaneous </t>
  </si>
  <si>
    <t>Variable</t>
  </si>
  <si>
    <t>Fixed</t>
  </si>
  <si>
    <t>Seed Price (1000 seeds)</t>
  </si>
  <si>
    <t>Seeding Level (kernels per acre)</t>
  </si>
  <si>
    <t>Nitrogen:</t>
  </si>
  <si>
    <t>Pounds per Acre</t>
  </si>
  <si>
    <t>Price per Ton</t>
  </si>
  <si>
    <t>Nitrogen Cost</t>
  </si>
  <si>
    <t>Phosphorus:</t>
  </si>
  <si>
    <t>Phosphorus Cost</t>
  </si>
  <si>
    <t>Potassium:</t>
  </si>
  <si>
    <t>Potassium Cost</t>
  </si>
  <si>
    <t>Lime</t>
  </si>
  <si>
    <t>Herbicide</t>
  </si>
  <si>
    <t>Insecticide</t>
  </si>
  <si>
    <t>Crop Insurance</t>
  </si>
  <si>
    <t>Insurance</t>
  </si>
  <si>
    <t xml:space="preserve">Miscelleneous </t>
  </si>
  <si>
    <t>Apply N</t>
  </si>
  <si>
    <t>Apply P and K</t>
  </si>
  <si>
    <t>Tandem Disk</t>
  </si>
  <si>
    <t>Field Cultivation</t>
  </si>
  <si>
    <t>Other</t>
  </si>
  <si>
    <t>Direct Costs:</t>
  </si>
  <si>
    <t>Sub-Total</t>
  </si>
  <si>
    <t>Harvest Costs:</t>
  </si>
  <si>
    <t>Combine</t>
  </si>
  <si>
    <t>Hauling</t>
  </si>
  <si>
    <t>Drying</t>
  </si>
  <si>
    <t>Drying Cost</t>
  </si>
  <si>
    <t>Hired Labor</t>
  </si>
  <si>
    <t>Operator and Family Labor</t>
  </si>
  <si>
    <t>Labor Costs:</t>
  </si>
  <si>
    <t>Hours</t>
  </si>
  <si>
    <t>Rate per Hour</t>
  </si>
  <si>
    <t>Hired Labor Cost</t>
  </si>
  <si>
    <t>Land Costs:</t>
  </si>
  <si>
    <t>Cash Rent Equivalent</t>
  </si>
  <si>
    <t>Contribution Margin</t>
  </si>
  <si>
    <t>Earnings</t>
  </si>
  <si>
    <t>Per Acre</t>
  </si>
  <si>
    <t>Per Bushel</t>
  </si>
  <si>
    <t>Conventional Corn (Enter Data in Yellow Cells)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</si>
  <si>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</si>
  <si>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</si>
  <si>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</si>
  <si>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</si>
  <si>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</si>
  <si>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</si>
  <si>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</si>
  <si>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</si>
  <si>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</si>
  <si>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</si>
  <si>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% of Total</t>
  </si>
  <si>
    <t>Crop</t>
  </si>
  <si>
    <t>Conventional Soybeans</t>
  </si>
  <si>
    <t>Field 1</t>
  </si>
  <si>
    <t>Field 2</t>
  </si>
  <si>
    <t>Field 3</t>
  </si>
  <si>
    <t>Field 4</t>
  </si>
  <si>
    <t>% of Acres</t>
  </si>
  <si>
    <t>Organic Corn</t>
  </si>
  <si>
    <t>Organic Soybeans</t>
  </si>
  <si>
    <t>Yields for Year 1 through Year 10</t>
  </si>
  <si>
    <t>Prices for Year 1 through Year 10</t>
  </si>
  <si>
    <t>% Δ / year</t>
  </si>
  <si>
    <t>Government Payments, Crop Insurance Indemnity Payments, and Miscellaneous Revenue for Year 1 through Year 10</t>
  </si>
  <si>
    <t>Gross Revenue</t>
  </si>
  <si>
    <t>Conventional Corn (per acre)</t>
  </si>
  <si>
    <t>Variable Cost</t>
  </si>
  <si>
    <t>Fixed Cost</t>
  </si>
  <si>
    <t>Annual Returns by Crop (per acre)</t>
  </si>
  <si>
    <t>Variable Costs for Year 1 through Year 10</t>
  </si>
  <si>
    <t>Avg</t>
  </si>
  <si>
    <t>Std Dev</t>
  </si>
  <si>
    <t>Net Return to Land</t>
  </si>
  <si>
    <t>Conventional Soybeans (Enter Data in Yellow Cells)</t>
  </si>
  <si>
    <t>Gross Return</t>
  </si>
  <si>
    <t>Organic Corn (Enter Data in Yellow Cells)</t>
  </si>
  <si>
    <t>Plow</t>
  </si>
  <si>
    <t>Field Cultivate</t>
  </si>
  <si>
    <t>Plant</t>
  </si>
  <si>
    <t>Rotary Hoe</t>
  </si>
  <si>
    <t>Row Cultivate</t>
  </si>
  <si>
    <t>Organic Soybeans (Enter Data in Yellow Cells)</t>
  </si>
  <si>
    <t>Corn</t>
  </si>
  <si>
    <t>Soybeans</t>
  </si>
  <si>
    <t>Rotation</t>
  </si>
  <si>
    <t>Org Corn</t>
  </si>
  <si>
    <t>Org Soy</t>
  </si>
  <si>
    <t>10-Year Average Per Acre Returns</t>
  </si>
  <si>
    <t>Fixed Costs, Except for Cash Rent,  for Year 1 through Year 10</t>
  </si>
  <si>
    <t>Cash Rent for Year 1 through Year 10</t>
  </si>
  <si>
    <t>Percent of Acres</t>
  </si>
  <si>
    <t>Conventional Soybeans (per acre)</t>
  </si>
  <si>
    <t>Organic Corn (per acre)</t>
  </si>
  <si>
    <t>Organic Soybeans (per acre)</t>
  </si>
  <si>
    <t>Transition and Organic Crop Rotations (per acre)</t>
  </si>
  <si>
    <t>Sulfer</t>
  </si>
  <si>
    <t>Sulfer Cost</t>
  </si>
  <si>
    <t>Spray Herbicide</t>
  </si>
  <si>
    <t>Dollars per Bushel</t>
  </si>
  <si>
    <t>Dollars per Point</t>
  </si>
  <si>
    <t>Points per Bushel</t>
  </si>
  <si>
    <t>Operating Interest</t>
  </si>
  <si>
    <t>Machinery Costs:</t>
  </si>
  <si>
    <t>Total Costs:</t>
  </si>
  <si>
    <t>Contribution Margin:</t>
  </si>
  <si>
    <t>Earnings:</t>
  </si>
  <si>
    <t>Dry Manure:</t>
  </si>
  <si>
    <t>Liquid Manure:</t>
  </si>
  <si>
    <t>Dry Manure Cost</t>
  </si>
  <si>
    <t>Gallons per Acre</t>
  </si>
  <si>
    <t>Liquid Manure Cost</t>
  </si>
  <si>
    <t>Price per Gallon</t>
  </si>
  <si>
    <t>Cover Crop</t>
  </si>
  <si>
    <t>Seeding Level (units per acre)</t>
  </si>
  <si>
    <t>Seed Price (per unit)</t>
  </si>
  <si>
    <t>Harrow</t>
  </si>
  <si>
    <t>Hauling:</t>
  </si>
  <si>
    <t>Δ unit / year</t>
  </si>
  <si>
    <t>Price per Pound</t>
  </si>
  <si>
    <t>Apply Liquid Manure (per 1000 gallons)</t>
  </si>
  <si>
    <t>Corn/Soybean Conventional Rotation</t>
  </si>
  <si>
    <t>Corn/Soybean/Wheat Conventional Rotation</t>
  </si>
  <si>
    <t>Wheat</t>
  </si>
  <si>
    <t>Corn/Soybean/Wheat Organic Rotation</t>
  </si>
  <si>
    <t>Field 5</t>
  </si>
  <si>
    <t>Field 6</t>
  </si>
  <si>
    <t>Conventional Wheat</t>
  </si>
  <si>
    <t>Conventional Production Plan: Corn/Soybean Rotation</t>
  </si>
  <si>
    <t>Conventional Production Plan:  Corn/Soybean/Wheat Rotation</t>
  </si>
  <si>
    <t>Transition and Organic Production Plan:  Corn/Soybean/Wheat Rotation</t>
  </si>
  <si>
    <t>Transition Soybeans</t>
  </si>
  <si>
    <t>Transition Wheat</t>
  </si>
  <si>
    <t>Organic Wheat</t>
  </si>
  <si>
    <t>Input - Conventional, Transition, and Organic Production Plans for Next Ten Years (Enter Data in Yellow Cells)</t>
  </si>
  <si>
    <t>Conventional Corn/Soybean Crop Rotation (per acre)</t>
  </si>
  <si>
    <t>Conventional Wheat (per acre)</t>
  </si>
  <si>
    <t>Conventional Wheat (Enter Data in Yellow Cells)</t>
  </si>
  <si>
    <t>Conventional Corn/Soybean Crop Rotation</t>
  </si>
  <si>
    <t>Conventional Corn/Soybean/Wheat Crop Rotation (per acre)</t>
  </si>
  <si>
    <t>Transition Soybeans (per acre)</t>
  </si>
  <si>
    <t>Transition Soybeans (Enter Data in Yellow Cells)</t>
  </si>
  <si>
    <t>Transition Wheat (Enter Data in Yellow Cells)</t>
  </si>
  <si>
    <t>Organic Wheat (Enter Data in Yellow Cells)</t>
  </si>
  <si>
    <t>Input - Conventional, Transition, and Organic Yields, Gross Revenue, and Total Cost Projections (Enter Data in Yellow Cells)</t>
  </si>
  <si>
    <t>Transition and Organic Corn/Soybean/Wheat Crop Rotation</t>
  </si>
  <si>
    <t>Conventional Corn/Soybean/Wheat Crop Rotation</t>
  </si>
  <si>
    <t>T Soy</t>
  </si>
  <si>
    <t>T Wheat</t>
  </si>
  <si>
    <t>Org Wheat</t>
  </si>
  <si>
    <t>Transition Wheat (per acre)</t>
  </si>
  <si>
    <t>Organic Wheat (per acre)</t>
  </si>
  <si>
    <t>Sulfer:</t>
  </si>
  <si>
    <t>Apply Nitrogen</t>
  </si>
  <si>
    <t>Seed: Cover Crops</t>
  </si>
  <si>
    <t>Seed: Soybeans</t>
  </si>
  <si>
    <t>Seed Price (50# per unit)</t>
  </si>
  <si>
    <t>Tandom Disk</t>
  </si>
  <si>
    <t>Apply Dry Manure (per ton)</t>
  </si>
  <si>
    <t>Plant Soybeans</t>
  </si>
  <si>
    <t>Plant Cover Crops</t>
  </si>
  <si>
    <t>Plant Corn</t>
  </si>
  <si>
    <t>Seed: Wheat</t>
  </si>
  <si>
    <t>Seed: Corn</t>
  </si>
  <si>
    <t>Operation</t>
  </si>
  <si>
    <t>Anhydrous Application</t>
  </si>
  <si>
    <t>Baling, Large Round Bales (per ton)</t>
  </si>
  <si>
    <t>Combine Corn</t>
  </si>
  <si>
    <t>Combine Soybeans</t>
  </si>
  <si>
    <t>Combine Small Grain</t>
  </si>
  <si>
    <t>Drill Alfalfa (seeder/packer)</t>
  </si>
  <si>
    <t>Drill Wheat</t>
  </si>
  <si>
    <t>Grain Cart</t>
  </si>
  <si>
    <t>Moldboard Plow</t>
  </si>
  <si>
    <t>Moving, Large Round Bales (per ton)</t>
  </si>
  <si>
    <t>Mowing and Conditioning Hay</t>
  </si>
  <si>
    <t>Plant Corn or Soybeans</t>
  </si>
  <si>
    <t>Rotary Hoeing</t>
  </si>
  <si>
    <t>Row Crop Cultivation</t>
  </si>
  <si>
    <t>Spray Fertilizer</t>
  </si>
  <si>
    <t>Spread Fertilizer</t>
  </si>
  <si>
    <t>Spreading Dry Manure (per ton)</t>
  </si>
  <si>
    <t>Spreading Liquid Manure (per 1000 gal)</t>
  </si>
  <si>
    <t>Spread Insecticide</t>
  </si>
  <si>
    <t>Cost</t>
  </si>
  <si>
    <t>Notes</t>
  </si>
  <si>
    <t xml:space="preserve">In the sheets to the right, enter data in the yellow cells.  </t>
  </si>
  <si>
    <t>represent returns and costs for the first year of the analysis.  The variable and fixed cost components</t>
  </si>
  <si>
    <t xml:space="preserve">of each field operation can be found in the last sheet to the right entitled "Field Operations".  </t>
  </si>
  <si>
    <t xml:space="preserve">Yield, price, miscellaneous income, and costs for the second through tenth years can be found in the </t>
  </si>
  <si>
    <t>sheet entitled "Long-Run Projections".</t>
  </si>
  <si>
    <t>The "Summary" sheet contains the ten-year averages for each rotation.</t>
  </si>
  <si>
    <t>We recommend starting with the individual crop spreadsheets (e.g., conventional corn).  These sheets</t>
  </si>
  <si>
    <t>Gross Return (NPV)</t>
  </si>
  <si>
    <t>Variable Cost (NPV)</t>
  </si>
  <si>
    <t>Contribution Margin (NPV)</t>
  </si>
  <si>
    <t>Fixed Cost (NPV)</t>
  </si>
  <si>
    <t>Earnings (NPV)</t>
  </si>
  <si>
    <t>Net Return to Land (NPV)</t>
  </si>
  <si>
    <t>Discount Rate</t>
  </si>
  <si>
    <t>The "Annual Returns" sheet contains annual return information for each crop and rotation.</t>
  </si>
  <si>
    <t>The "NPV Analysis" provides discounted annual return information for each crop and rotation.</t>
  </si>
  <si>
    <t>Combine Wheat</t>
  </si>
  <si>
    <t>Raking (Turning Windrows)</t>
  </si>
  <si>
    <t>Tons per Acre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</si>
</sst>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0.0"/>
    <numFmt numFmtId="165" formatCode="0.0%"/>
    <numFmt numFmtId="166" formatCode="0.000"/>
    <numFmt numFmtId="167" formatCode="#,##0.0"/>
    <numFmt numFmtId="168" formatCode="#,##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65" fontId="0" fillId="0" borderId="0" xfId="1" applyNumberFormat="1" applyFont="1"/>
    <xf numFmtId="165" fontId="0" fillId="0" borderId="0" xfId="0" applyNumberFormat="1"/>
    <xf numFmtId="0" fontId="6" fillId="0" borderId="0" xfId="0" applyFont="1"/>
    <xf numFmtId="164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3" fontId="0" fillId="2" borderId="2" xfId="0" applyNumberFormat="1" applyFill="1" applyBorder="1" applyProtection="1">
      <protection locked="0"/>
    </xf>
    <xf numFmtId="165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166" fontId="0" fillId="2" borderId="2" xfId="0" applyNumberFormat="1" applyFill="1" applyBorder="1" applyProtection="1">
      <protection locked="0"/>
    </xf>
    <xf numFmtId="167" fontId="0" fillId="2" borderId="2" xfId="0" applyNumberFormat="1" applyFill="1" applyBorder="1" applyProtection="1">
      <protection locked="0"/>
    </xf>
    <xf numFmtId="4" fontId="0" fillId="0" borderId="0" xfId="0" applyNumberFormat="1"/>
    <xf numFmtId="2" fontId="0" fillId="0" borderId="0" xfId="0" applyNumberFormat="1" applyProtection="1"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0" fontId="7" fillId="0" borderId="0" xfId="0" applyFont="1"/>
    <xf numFmtId="2" fontId="7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4" fontId="0" fillId="2" borderId="2" xfId="0" applyNumberFormat="1" applyFill="1" applyBorder="1" applyProtection="1">
      <protection locked="0"/>
    </xf>
    <xf numFmtId="168" fontId="0" fillId="2" borderId="2" xfId="0" applyNumberFormat="1" applyFill="1" applyBorder="1" applyProtection="1">
      <protection locked="0"/>
    </xf>
    <xf numFmtId="6" fontId="0" fillId="0" borderId="0" xfId="0" applyNumberFormat="1"/>
    <xf numFmtId="6" fontId="7" fillId="0" borderId="0" xfId="0" applyNumberFormat="1" applyFont="1"/>
    <xf numFmtId="2" fontId="0" fillId="2" borderId="2" xfId="0" applyNumberFormat="1" applyFill="1" applyBorder="1" applyAlignment="1" applyProtection="1">
      <alignment horizontal="center"/>
      <protection locked="0"/>
    </xf>
    <xf numFmtId="165" fontId="0" fillId="2" borderId="2" xfId="1" applyNumberFormat="1" applyFont="1" applyFill="1" applyBorder="1" applyAlignment="1" applyProtection="1">
      <alignment horizontal="center"/>
      <protection locked="0"/>
    </xf>
    <xf numFmtId="6" fontId="8" fillId="0" borderId="0" xfId="0" applyNumberFormat="1" applyFont="1"/>
    <xf numFmtId="8" fontId="0" fillId="0" borderId="0" xfId="0" applyNumberFormat="1"/>
    <xf numFmtId="8" fontId="6" fillId="0" borderId="0" xfId="0" applyNumberFormat="1" applyFont="1" applyAlignment="1">
      <alignment horizontal="right"/>
    </xf>
    <xf numFmtId="6" fontId="6" fillId="0" borderId="0" xfId="0" applyNumberFormat="1" applyFont="1"/>
    <xf numFmtId="2" fontId="2" fillId="0" borderId="0" xfId="0" applyNumberFormat="1" applyFont="1"/>
    <xf numFmtId="0" fontId="9" fillId="0" borderId="0" xfId="0" applyFont="1"/>
    <xf numFmtId="0" fontId="9" fillId="2" borderId="2" xfId="0" applyFont="1" applyFill="1" applyBorder="1" applyProtection="1">
      <protection locked="0"/>
    </xf>
    <xf numFmtId="2" fontId="10" fillId="0" borderId="0" xfId="0" applyNumberFormat="1" applyFont="1"/>
    <xf numFmtId="0" fontId="11" fillId="0" borderId="0" xfId="0" applyFont="1" applyAlignment="1">
      <alignment horizontal="right"/>
    </xf>
    <xf numFmtId="0" fontId="1" fillId="0" borderId="0" xfId="0" applyFont="1" applyProtection="1">
      <protection locked="0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zoomScale="150" zoomScaleNormal="150" workbookViewId="0"/>
  </sheetViews>
  <sheetFormatPr defaultRowHeight="15" x14ac:dyDescent="0.25"/>
  <sheetData>
    <row r="1" spans="1:2" x14ac:dyDescent="0.25">
      <c r="A1" s="1" t="s">
        <v>198</v>
      </c>
    </row>
    <row r="3" spans="1:2" x14ac:dyDescent="0.25">
      <c r="B3" t="s">
        <v>199</v>
      </c>
    </row>
    <row r="5" spans="1:2" x14ac:dyDescent="0.25">
      <c r="B5" t="s">
        <v>205</v>
      </c>
    </row>
    <row r="6" spans="1:2" x14ac:dyDescent="0.25">
      <c r="B6" t="s">
        <v>200</v>
      </c>
    </row>
    <row r="7" spans="1:2" x14ac:dyDescent="0.25">
      <c r="B7" t="s">
        <v>201</v>
      </c>
    </row>
    <row r="8" spans="1:2" x14ac:dyDescent="0.25">
      <c r="B8" t="s">
        <v>202</v>
      </c>
    </row>
    <row r="9" spans="1:2" x14ac:dyDescent="0.25">
      <c r="B9" t="s">
        <v>203</v>
      </c>
    </row>
    <row r="11" spans="1:2" x14ac:dyDescent="0.25">
      <c r="B11" t="s">
        <v>204</v>
      </c>
    </row>
    <row r="13" spans="1:2" x14ac:dyDescent="0.25">
      <c r="B13" t="s">
        <v>213</v>
      </c>
    </row>
    <row r="15" spans="1:2" x14ac:dyDescent="0.25">
      <c r="B15" t="s">
        <v>214</v>
      </c>
    </row>
  </sheetData>
  <sheetProtection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107"/>
  <sheetViews>
    <sheetView zoomScale="150" zoomScaleNormal="150" workbookViewId="0"/>
  </sheetViews>
  <sheetFormatPr defaultRowHeight="15" x14ac:dyDescent="0.25"/>
  <sheetData>
    <row r="1" spans="1:10" x14ac:dyDescent="0.25">
      <c r="A1" s="1" t="s">
        <v>155</v>
      </c>
    </row>
    <row r="3" spans="1:10" x14ac:dyDescent="0.25">
      <c r="A3" s="7" t="s">
        <v>1</v>
      </c>
    </row>
    <row r="5" spans="1:10" x14ac:dyDescent="0.25">
      <c r="B5" t="s">
        <v>3</v>
      </c>
      <c r="I5" s="17">
        <v>79.599999999999994</v>
      </c>
      <c r="J5" s="3"/>
    </row>
    <row r="6" spans="1:10" x14ac:dyDescent="0.25">
      <c r="B6" t="s">
        <v>2</v>
      </c>
      <c r="I6" s="18">
        <v>5.9</v>
      </c>
      <c r="J6" s="2"/>
    </row>
    <row r="7" spans="1:10" x14ac:dyDescent="0.25">
      <c r="B7" t="s">
        <v>9</v>
      </c>
      <c r="J7" s="24">
        <f>I5*I6</f>
        <v>469.64</v>
      </c>
    </row>
    <row r="8" spans="1:10" x14ac:dyDescent="0.25">
      <c r="B8" t="s">
        <v>4</v>
      </c>
      <c r="J8" s="18">
        <v>0</v>
      </c>
    </row>
    <row r="9" spans="1:10" x14ac:dyDescent="0.25">
      <c r="B9" t="s">
        <v>5</v>
      </c>
      <c r="J9" s="18">
        <v>0</v>
      </c>
    </row>
    <row r="10" spans="1:10" x14ac:dyDescent="0.25">
      <c r="B10" t="s">
        <v>10</v>
      </c>
      <c r="J10" s="18">
        <v>0</v>
      </c>
    </row>
    <row r="12" spans="1:10" x14ac:dyDescent="0.25">
      <c r="B12" t="s">
        <v>6</v>
      </c>
      <c r="J12" s="24">
        <f>SUM(J7:J10)</f>
        <v>469.64</v>
      </c>
    </row>
    <row r="14" spans="1:10" x14ac:dyDescent="0.25">
      <c r="A14" s="7" t="s">
        <v>34</v>
      </c>
      <c r="C14" s="16"/>
    </row>
    <row r="15" spans="1:10" x14ac:dyDescent="0.25">
      <c r="H15" s="4" t="s">
        <v>11</v>
      </c>
      <c r="I15" s="4" t="s">
        <v>12</v>
      </c>
      <c r="J15" s="4" t="s">
        <v>6</v>
      </c>
    </row>
    <row r="16" spans="1:10" x14ac:dyDescent="0.25">
      <c r="H16" s="4"/>
      <c r="I16" s="4"/>
      <c r="J16" s="4"/>
    </row>
    <row r="17" spans="2:10" x14ac:dyDescent="0.25">
      <c r="B17" t="s">
        <v>167</v>
      </c>
    </row>
    <row r="18" spans="2:10" x14ac:dyDescent="0.25">
      <c r="C18" t="s">
        <v>128</v>
      </c>
      <c r="G18" s="18">
        <v>29.78</v>
      </c>
    </row>
    <row r="19" spans="2:10" x14ac:dyDescent="0.25">
      <c r="C19" t="s">
        <v>127</v>
      </c>
      <c r="G19" s="31">
        <v>1.1499999999999999</v>
      </c>
    </row>
    <row r="20" spans="2:10" x14ac:dyDescent="0.25">
      <c r="C20" t="s">
        <v>8</v>
      </c>
      <c r="H20" s="3">
        <f>G18*G19</f>
        <v>34.247</v>
      </c>
      <c r="I20" s="3">
        <v>0</v>
      </c>
      <c r="J20" s="3">
        <f>SUM(H20, I20)</f>
        <v>34.247</v>
      </c>
    </row>
    <row r="22" spans="2:10" x14ac:dyDescent="0.25">
      <c r="B22" t="s">
        <v>175</v>
      </c>
    </row>
    <row r="23" spans="2:10" x14ac:dyDescent="0.25">
      <c r="C23" t="s">
        <v>128</v>
      </c>
      <c r="G23" s="18">
        <v>22</v>
      </c>
    </row>
    <row r="24" spans="2:10" x14ac:dyDescent="0.25">
      <c r="C24" t="s">
        <v>127</v>
      </c>
      <c r="G24" s="31">
        <v>2</v>
      </c>
    </row>
    <row r="25" spans="2:10" x14ac:dyDescent="0.25">
      <c r="C25" t="s">
        <v>8</v>
      </c>
      <c r="H25" s="3">
        <f>G23*G24</f>
        <v>44</v>
      </c>
      <c r="I25" s="3">
        <v>0</v>
      </c>
      <c r="J25" s="3">
        <f>SUM(H25, I25)</f>
        <v>44</v>
      </c>
    </row>
    <row r="27" spans="2:10" x14ac:dyDescent="0.25">
      <c r="B27" t="s">
        <v>120</v>
      </c>
    </row>
    <row r="28" spans="2:10" x14ac:dyDescent="0.25">
      <c r="C28" t="s">
        <v>217</v>
      </c>
      <c r="G28" s="17">
        <v>2</v>
      </c>
    </row>
    <row r="29" spans="2:10" x14ac:dyDescent="0.25">
      <c r="C29" t="s">
        <v>132</v>
      </c>
      <c r="G29" s="18">
        <v>57</v>
      </c>
    </row>
    <row r="30" spans="2:10" x14ac:dyDescent="0.25">
      <c r="C30" t="s">
        <v>122</v>
      </c>
      <c r="H30" s="3">
        <f>G28*G29</f>
        <v>114</v>
      </c>
      <c r="I30" s="3">
        <v>0</v>
      </c>
      <c r="J30" s="3">
        <f>SUM(H30, I30)</f>
        <v>114</v>
      </c>
    </row>
    <row r="32" spans="2:10" x14ac:dyDescent="0.25">
      <c r="B32" t="s">
        <v>121</v>
      </c>
    </row>
    <row r="33" spans="1:10" x14ac:dyDescent="0.25">
      <c r="C33" t="s">
        <v>123</v>
      </c>
      <c r="G33" s="23">
        <v>0</v>
      </c>
    </row>
    <row r="34" spans="1:10" x14ac:dyDescent="0.25">
      <c r="C34" t="s">
        <v>125</v>
      </c>
      <c r="G34" s="22">
        <v>2.5000000000000001E-2</v>
      </c>
    </row>
    <row r="35" spans="1:10" x14ac:dyDescent="0.25">
      <c r="C35" t="s">
        <v>124</v>
      </c>
      <c r="H35" s="3">
        <f>G33*G34</f>
        <v>0</v>
      </c>
      <c r="I35" s="3">
        <v>0</v>
      </c>
      <c r="J35" s="3">
        <f>SUM(H35, I35)</f>
        <v>0</v>
      </c>
    </row>
    <row r="37" spans="1:10" x14ac:dyDescent="0.25">
      <c r="B37" t="s">
        <v>23</v>
      </c>
      <c r="H37" s="18">
        <v>0</v>
      </c>
      <c r="I37" s="3">
        <v>0</v>
      </c>
      <c r="J37" s="3">
        <f t="shared" ref="J37:J43" si="0">SUM(H37, I37)</f>
        <v>0</v>
      </c>
    </row>
    <row r="38" spans="1:10" x14ac:dyDescent="0.25">
      <c r="B38" t="s">
        <v>24</v>
      </c>
      <c r="H38" s="18">
        <v>0</v>
      </c>
      <c r="I38" s="3">
        <v>0</v>
      </c>
      <c r="J38" s="3">
        <f t="shared" si="0"/>
        <v>0</v>
      </c>
    </row>
    <row r="39" spans="1:10" x14ac:dyDescent="0.25">
      <c r="B39" t="s">
        <v>25</v>
      </c>
      <c r="H39" s="18">
        <v>0</v>
      </c>
      <c r="I39" s="3">
        <v>0</v>
      </c>
      <c r="J39" s="3">
        <f t="shared" si="0"/>
        <v>0</v>
      </c>
    </row>
    <row r="40" spans="1:10" x14ac:dyDescent="0.25">
      <c r="B40" t="s">
        <v>26</v>
      </c>
      <c r="H40" s="18">
        <v>0</v>
      </c>
      <c r="I40" s="3">
        <v>0</v>
      </c>
      <c r="J40" s="3">
        <f t="shared" si="0"/>
        <v>0</v>
      </c>
    </row>
    <row r="41" spans="1:10" x14ac:dyDescent="0.25">
      <c r="B41" t="s">
        <v>27</v>
      </c>
      <c r="H41" s="18">
        <v>10</v>
      </c>
      <c r="I41" s="3">
        <v>0</v>
      </c>
      <c r="J41" s="3">
        <f t="shared" si="0"/>
        <v>10</v>
      </c>
    </row>
    <row r="42" spans="1:10" x14ac:dyDescent="0.25">
      <c r="B42" t="s">
        <v>28</v>
      </c>
      <c r="H42" s="18">
        <v>20</v>
      </c>
      <c r="I42" s="3">
        <v>0</v>
      </c>
      <c r="J42" s="3">
        <f t="shared" si="0"/>
        <v>20</v>
      </c>
    </row>
    <row r="43" spans="1:10" x14ac:dyDescent="0.25">
      <c r="B43" t="s">
        <v>115</v>
      </c>
      <c r="G43" s="20">
        <v>7.0000000000000007E-2</v>
      </c>
      <c r="H43" s="3">
        <f>((SUM(H20,H25, H30,H35,H37:H39, H42)*0.5))*$G$43</f>
        <v>7.4286450000000013</v>
      </c>
      <c r="I43" s="3">
        <v>0</v>
      </c>
      <c r="J43" s="3">
        <f t="shared" si="0"/>
        <v>7.4286450000000013</v>
      </c>
    </row>
    <row r="45" spans="1:10" x14ac:dyDescent="0.25">
      <c r="B45" t="s">
        <v>35</v>
      </c>
      <c r="H45" s="3">
        <f>SUM(H20, H25, H30, H35, H37:H43)</f>
        <v>229.675645</v>
      </c>
      <c r="I45" s="3">
        <f>SUM(I20, I25, I30, I35, I37:I43)</f>
        <v>0</v>
      </c>
      <c r="J45" s="3">
        <f>SUM(H45, I45)</f>
        <v>229.675645</v>
      </c>
    </row>
    <row r="47" spans="1:10" x14ac:dyDescent="0.25">
      <c r="A47" s="7" t="s">
        <v>116</v>
      </c>
    </row>
    <row r="48" spans="1:10" x14ac:dyDescent="0.25">
      <c r="H48" s="4" t="s">
        <v>11</v>
      </c>
      <c r="I48" s="4" t="s">
        <v>12</v>
      </c>
      <c r="J48" s="4" t="s">
        <v>6</v>
      </c>
    </row>
    <row r="49" spans="2:10" x14ac:dyDescent="0.25">
      <c r="H49" s="4"/>
      <c r="I49" s="4"/>
    </row>
    <row r="50" spans="2:10" x14ac:dyDescent="0.25">
      <c r="B50" t="s">
        <v>171</v>
      </c>
      <c r="H50" s="18">
        <v>0.99</v>
      </c>
      <c r="I50" s="18">
        <v>4.2</v>
      </c>
      <c r="J50" s="3">
        <f>SUM(H50, I50)</f>
        <v>5.19</v>
      </c>
    </row>
    <row r="51" spans="2:10" x14ac:dyDescent="0.25">
      <c r="B51" t="s">
        <v>133</v>
      </c>
      <c r="H51" s="18">
        <v>2.48</v>
      </c>
      <c r="I51" s="18">
        <v>10.59</v>
      </c>
      <c r="J51" s="3">
        <f t="shared" ref="J51:J64" si="1">SUM(H51, I51)</f>
        <v>13.07</v>
      </c>
    </row>
    <row r="52" spans="2:10" x14ac:dyDescent="0.25">
      <c r="B52" t="s">
        <v>173</v>
      </c>
      <c r="H52" s="18">
        <v>4.6100000000000003</v>
      </c>
      <c r="I52" s="18">
        <v>12.11</v>
      </c>
      <c r="J52" s="3">
        <f t="shared" si="1"/>
        <v>16.72</v>
      </c>
    </row>
    <row r="53" spans="2:10" x14ac:dyDescent="0.25">
      <c r="B53" t="s">
        <v>170</v>
      </c>
      <c r="H53" s="18">
        <v>3.86</v>
      </c>
      <c r="I53" s="18">
        <v>14.16</v>
      </c>
      <c r="J53" s="3">
        <f t="shared" si="1"/>
        <v>18.02</v>
      </c>
    </row>
    <row r="54" spans="2:10" x14ac:dyDescent="0.25">
      <c r="B54" t="s">
        <v>91</v>
      </c>
      <c r="H54" s="18">
        <v>4.1500000000000004</v>
      </c>
      <c r="I54" s="18">
        <v>13.12</v>
      </c>
      <c r="J54" s="3">
        <f t="shared" si="1"/>
        <v>17.27</v>
      </c>
    </row>
    <row r="55" spans="2:10" x14ac:dyDescent="0.25">
      <c r="B55" t="s">
        <v>184</v>
      </c>
      <c r="H55" s="18">
        <v>4.6100000000000003</v>
      </c>
      <c r="I55" s="18">
        <v>12.11</v>
      </c>
      <c r="J55" s="3">
        <f t="shared" si="1"/>
        <v>16.72</v>
      </c>
    </row>
    <row r="56" spans="2:10" x14ac:dyDescent="0.25">
      <c r="B56" t="s">
        <v>33</v>
      </c>
      <c r="H56" s="18">
        <v>0</v>
      </c>
      <c r="I56" s="18">
        <v>0</v>
      </c>
      <c r="J56" s="3">
        <f t="shared" si="1"/>
        <v>0</v>
      </c>
    </row>
    <row r="57" spans="2:10" x14ac:dyDescent="0.25">
      <c r="B57" t="s">
        <v>33</v>
      </c>
      <c r="H57" s="18">
        <v>0</v>
      </c>
      <c r="I57" s="18">
        <v>0</v>
      </c>
      <c r="J57" s="3">
        <f t="shared" si="1"/>
        <v>0</v>
      </c>
    </row>
    <row r="58" spans="2:10" x14ac:dyDescent="0.25">
      <c r="B58" t="s">
        <v>33</v>
      </c>
      <c r="H58" s="18">
        <v>0</v>
      </c>
      <c r="I58" s="18">
        <v>0</v>
      </c>
      <c r="J58" s="3">
        <f t="shared" si="1"/>
        <v>0</v>
      </c>
    </row>
    <row r="59" spans="2:10" x14ac:dyDescent="0.25">
      <c r="B59" t="s">
        <v>33</v>
      </c>
      <c r="H59" s="18">
        <v>0</v>
      </c>
      <c r="I59" s="18">
        <v>0</v>
      </c>
      <c r="J59" s="3">
        <f t="shared" si="1"/>
        <v>0</v>
      </c>
    </row>
    <row r="60" spans="2:10" x14ac:dyDescent="0.25">
      <c r="B60" t="s">
        <v>33</v>
      </c>
      <c r="H60" s="18">
        <v>0</v>
      </c>
      <c r="I60" s="18">
        <v>0</v>
      </c>
      <c r="J60" s="3">
        <f t="shared" si="1"/>
        <v>0</v>
      </c>
    </row>
    <row r="61" spans="2:10" x14ac:dyDescent="0.25">
      <c r="B61" t="s">
        <v>33</v>
      </c>
      <c r="H61" s="18">
        <v>0</v>
      </c>
      <c r="I61" s="18">
        <v>0</v>
      </c>
      <c r="J61" s="3">
        <f t="shared" si="1"/>
        <v>0</v>
      </c>
    </row>
    <row r="62" spans="2:10" x14ac:dyDescent="0.25">
      <c r="B62" t="s">
        <v>33</v>
      </c>
      <c r="H62" s="18">
        <v>0</v>
      </c>
      <c r="I62" s="18">
        <v>0</v>
      </c>
      <c r="J62" s="3">
        <f t="shared" si="1"/>
        <v>0</v>
      </c>
    </row>
    <row r="63" spans="2:10" x14ac:dyDescent="0.25">
      <c r="H63" s="3"/>
      <c r="I63" s="3"/>
      <c r="J63" s="3"/>
    </row>
    <row r="64" spans="2:10" x14ac:dyDescent="0.25">
      <c r="B64" t="s">
        <v>35</v>
      </c>
      <c r="H64" s="3">
        <f>SUM((H50*$G$28), (H51*($G$33/1000)), H52:H62)</f>
        <v>19.21</v>
      </c>
      <c r="I64" s="3">
        <f>SUM((I50*$G$28), (I51*($G$33/1000)), I52:I62)</f>
        <v>59.9</v>
      </c>
      <c r="J64" s="3">
        <f t="shared" si="1"/>
        <v>79.11</v>
      </c>
    </row>
    <row r="66" spans="1:10" x14ac:dyDescent="0.25">
      <c r="A66" s="7" t="s">
        <v>36</v>
      </c>
      <c r="C66" s="16"/>
    </row>
    <row r="67" spans="1:10" x14ac:dyDescent="0.25">
      <c r="H67" s="4" t="s">
        <v>11</v>
      </c>
      <c r="I67" s="4" t="s">
        <v>12</v>
      </c>
      <c r="J67" s="4" t="s">
        <v>6</v>
      </c>
    </row>
    <row r="69" spans="1:10" x14ac:dyDescent="0.25">
      <c r="B69" t="s">
        <v>37</v>
      </c>
      <c r="H69" s="18">
        <v>11.58</v>
      </c>
      <c r="I69" s="18">
        <v>28.98</v>
      </c>
      <c r="J69" s="3">
        <f>H69+I69</f>
        <v>40.56</v>
      </c>
    </row>
    <row r="70" spans="1:10" x14ac:dyDescent="0.25">
      <c r="H70" s="25"/>
      <c r="I70" s="25"/>
      <c r="J70" s="3"/>
    </row>
    <row r="71" spans="1:10" x14ac:dyDescent="0.25">
      <c r="B71" t="s">
        <v>38</v>
      </c>
    </row>
    <row r="72" spans="1:10" x14ac:dyDescent="0.25">
      <c r="C72" t="s">
        <v>112</v>
      </c>
      <c r="G72" s="18">
        <v>0.15</v>
      </c>
      <c r="H72" s="3">
        <f>$G$72*$I$5</f>
        <v>11.94</v>
      </c>
      <c r="I72" s="3">
        <v>0</v>
      </c>
      <c r="J72" s="3">
        <f>SUM(H72, I72)</f>
        <v>11.94</v>
      </c>
    </row>
    <row r="74" spans="1:10" x14ac:dyDescent="0.25">
      <c r="B74" t="s">
        <v>35</v>
      </c>
      <c r="H74" s="3">
        <f xml:space="preserve"> SUM(H69, H72)</f>
        <v>23.52</v>
      </c>
      <c r="I74" s="3">
        <f xml:space="preserve"> SUM(I69, I72)</f>
        <v>28.98</v>
      </c>
      <c r="J74" s="3">
        <f>SUM(H74, I74)</f>
        <v>52.5</v>
      </c>
    </row>
    <row r="76" spans="1:10" x14ac:dyDescent="0.25">
      <c r="A76" s="7" t="s">
        <v>43</v>
      </c>
    </row>
    <row r="78" spans="1:10" x14ac:dyDescent="0.25">
      <c r="B78" t="s">
        <v>41</v>
      </c>
    </row>
    <row r="79" spans="1:10" x14ac:dyDescent="0.25">
      <c r="C79" t="s">
        <v>44</v>
      </c>
      <c r="G79" s="18">
        <v>3.3</v>
      </c>
    </row>
    <row r="80" spans="1:10" x14ac:dyDescent="0.25">
      <c r="C80" t="s">
        <v>45</v>
      </c>
      <c r="G80" s="18">
        <v>20</v>
      </c>
    </row>
    <row r="81" spans="1:10" x14ac:dyDescent="0.25">
      <c r="C81" t="s">
        <v>46</v>
      </c>
      <c r="H81" s="3">
        <v>0</v>
      </c>
      <c r="I81" s="3">
        <f>G79*G80</f>
        <v>66</v>
      </c>
      <c r="J81" s="3">
        <f>SUM(H81, I81)</f>
        <v>66</v>
      </c>
    </row>
    <row r="83" spans="1:10" x14ac:dyDescent="0.25">
      <c r="B83" t="s">
        <v>42</v>
      </c>
    </row>
    <row r="84" spans="1:10" x14ac:dyDescent="0.25">
      <c r="C84" t="s">
        <v>44</v>
      </c>
      <c r="G84" s="18">
        <v>1</v>
      </c>
    </row>
    <row r="85" spans="1:10" x14ac:dyDescent="0.25">
      <c r="C85" t="s">
        <v>45</v>
      </c>
      <c r="G85" s="18">
        <v>25</v>
      </c>
    </row>
    <row r="86" spans="1:10" x14ac:dyDescent="0.25">
      <c r="C86" t="s">
        <v>42</v>
      </c>
      <c r="H86" s="3">
        <v>0</v>
      </c>
      <c r="I86" s="3">
        <f>G84*G85</f>
        <v>25</v>
      </c>
      <c r="J86" s="3">
        <f>SUM(H86, I86)</f>
        <v>25</v>
      </c>
    </row>
    <row r="88" spans="1:10" x14ac:dyDescent="0.25">
      <c r="B88" t="s">
        <v>35</v>
      </c>
      <c r="H88" s="3">
        <f>SUM(H81, H86)</f>
        <v>0</v>
      </c>
      <c r="I88" s="3">
        <f>SUM(I81, I86)</f>
        <v>91</v>
      </c>
      <c r="J88" s="3">
        <f>SUM(H88, I88)</f>
        <v>91</v>
      </c>
    </row>
    <row r="90" spans="1:10" x14ac:dyDescent="0.25">
      <c r="A90" s="7" t="s">
        <v>47</v>
      </c>
    </row>
    <row r="92" spans="1:10" x14ac:dyDescent="0.25">
      <c r="B92" t="s">
        <v>48</v>
      </c>
      <c r="H92" s="3">
        <v>0</v>
      </c>
      <c r="I92" s="18">
        <v>255</v>
      </c>
      <c r="J92" s="3">
        <f>SUM(H92, I92)</f>
        <v>255</v>
      </c>
    </row>
    <row r="93" spans="1:10" x14ac:dyDescent="0.25">
      <c r="H93" s="3"/>
      <c r="I93" s="3"/>
    </row>
    <row r="94" spans="1:10" x14ac:dyDescent="0.25">
      <c r="A94" s="7" t="s">
        <v>117</v>
      </c>
    </row>
    <row r="96" spans="1:10" x14ac:dyDescent="0.25">
      <c r="B96" t="s">
        <v>51</v>
      </c>
      <c r="H96" s="3">
        <f>SUM(H45, H64, H74, H88, H92)</f>
        <v>272.40564499999999</v>
      </c>
      <c r="I96" s="3">
        <f>SUM(I45, I64, I74, I88, I92)</f>
        <v>434.88</v>
      </c>
      <c r="J96" s="3">
        <f>SUM(H96, I96)</f>
        <v>707.28564499999993</v>
      </c>
    </row>
    <row r="97" spans="1:10" x14ac:dyDescent="0.25">
      <c r="B97" t="s">
        <v>52</v>
      </c>
      <c r="H97" s="3">
        <f t="shared" ref="H97:I97" si="2">H96/$I$5</f>
        <v>3.4221814698492463</v>
      </c>
      <c r="I97" s="3">
        <f t="shared" si="2"/>
        <v>5.4633165829145733</v>
      </c>
      <c r="J97" s="3">
        <f>J96/$I$5</f>
        <v>8.8854980527638183</v>
      </c>
    </row>
    <row r="99" spans="1:10" x14ac:dyDescent="0.25">
      <c r="A99" s="7" t="s">
        <v>118</v>
      </c>
    </row>
    <row r="101" spans="1:10" x14ac:dyDescent="0.25">
      <c r="B101" t="s">
        <v>51</v>
      </c>
      <c r="J101" s="3">
        <f>J12-H96</f>
        <v>197.23435499999999</v>
      </c>
    </row>
    <row r="102" spans="1:10" x14ac:dyDescent="0.25">
      <c r="B102" t="s">
        <v>52</v>
      </c>
      <c r="J102" s="3">
        <f>J101/$I$5</f>
        <v>2.477818530150754</v>
      </c>
    </row>
    <row r="104" spans="1:10" x14ac:dyDescent="0.25">
      <c r="A104" s="7" t="s">
        <v>119</v>
      </c>
    </row>
    <row r="106" spans="1:10" x14ac:dyDescent="0.25">
      <c r="B106" t="s">
        <v>51</v>
      </c>
      <c r="J106" s="3">
        <f>J12-J96</f>
        <v>-237.64564499999994</v>
      </c>
    </row>
    <row r="107" spans="1:10" x14ac:dyDescent="0.25">
      <c r="B107" t="s">
        <v>52</v>
      </c>
      <c r="J107" s="3">
        <f>J106/$I$5</f>
        <v>-2.9854980527638184</v>
      </c>
    </row>
  </sheetData>
  <printOptions headings="1" gridLines="1"/>
  <pageMargins left="0.7" right="0.7" top="0.75" bottom="0.75" header="0.3" footer="0.3"/>
  <pageSetup scale="4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112"/>
  <sheetViews>
    <sheetView zoomScale="150" zoomScaleNormal="150" workbookViewId="0"/>
  </sheetViews>
  <sheetFormatPr defaultRowHeight="15" x14ac:dyDescent="0.25"/>
  <sheetData>
    <row r="1" spans="1:10" x14ac:dyDescent="0.25">
      <c r="A1" s="1" t="s">
        <v>89</v>
      </c>
    </row>
    <row r="3" spans="1:10" x14ac:dyDescent="0.25">
      <c r="A3" s="7" t="s">
        <v>1</v>
      </c>
    </row>
    <row r="5" spans="1:10" x14ac:dyDescent="0.25">
      <c r="B5" t="s">
        <v>3</v>
      </c>
      <c r="I5" s="17">
        <v>151.30000000000001</v>
      </c>
      <c r="J5" s="3"/>
    </row>
    <row r="6" spans="1:10" x14ac:dyDescent="0.25">
      <c r="B6" t="s">
        <v>2</v>
      </c>
      <c r="I6" s="18">
        <v>8.3000000000000007</v>
      </c>
      <c r="J6" s="2"/>
    </row>
    <row r="7" spans="1:10" x14ac:dyDescent="0.25">
      <c r="B7" t="s">
        <v>9</v>
      </c>
      <c r="J7" s="24">
        <f>I5*I6</f>
        <v>1255.7900000000002</v>
      </c>
    </row>
    <row r="8" spans="1:10" x14ac:dyDescent="0.25">
      <c r="B8" t="s">
        <v>4</v>
      </c>
      <c r="J8" s="18">
        <v>0</v>
      </c>
    </row>
    <row r="9" spans="1:10" x14ac:dyDescent="0.25">
      <c r="B9" t="s">
        <v>5</v>
      </c>
      <c r="J9" s="18">
        <v>40</v>
      </c>
    </row>
    <row r="10" spans="1:10" x14ac:dyDescent="0.25">
      <c r="B10" t="s">
        <v>10</v>
      </c>
      <c r="J10" s="18">
        <v>0</v>
      </c>
    </row>
    <row r="12" spans="1:10" x14ac:dyDescent="0.25">
      <c r="B12" t="s">
        <v>6</v>
      </c>
      <c r="J12" s="24">
        <f>SUM(J7:J10)</f>
        <v>1295.7900000000002</v>
      </c>
    </row>
    <row r="14" spans="1:10" x14ac:dyDescent="0.25">
      <c r="A14" s="7" t="s">
        <v>34</v>
      </c>
    </row>
    <row r="15" spans="1:10" x14ac:dyDescent="0.25">
      <c r="H15" s="4" t="s">
        <v>11</v>
      </c>
      <c r="I15" s="4" t="s">
        <v>12</v>
      </c>
      <c r="J15" s="4" t="s">
        <v>6</v>
      </c>
    </row>
    <row r="16" spans="1:10" x14ac:dyDescent="0.25">
      <c r="H16" s="4"/>
      <c r="I16" s="4"/>
      <c r="J16" s="4"/>
    </row>
    <row r="17" spans="2:10" x14ac:dyDescent="0.25">
      <c r="B17" t="s">
        <v>167</v>
      </c>
    </row>
    <row r="18" spans="2:10" x14ac:dyDescent="0.25">
      <c r="C18" t="s">
        <v>169</v>
      </c>
      <c r="G18" s="18">
        <v>29.78</v>
      </c>
    </row>
    <row r="19" spans="2:10" x14ac:dyDescent="0.25">
      <c r="C19" t="s">
        <v>127</v>
      </c>
      <c r="G19" s="31">
        <v>1.1499999999999999</v>
      </c>
    </row>
    <row r="20" spans="2:10" x14ac:dyDescent="0.25">
      <c r="C20" t="s">
        <v>8</v>
      </c>
      <c r="H20" s="3">
        <f>G18*G19</f>
        <v>34.247</v>
      </c>
      <c r="I20" s="3">
        <v>0</v>
      </c>
      <c r="J20" s="3">
        <f>SUM(H20, I20)</f>
        <v>34.247</v>
      </c>
    </row>
    <row r="22" spans="2:10" x14ac:dyDescent="0.25">
      <c r="B22" t="s">
        <v>176</v>
      </c>
    </row>
    <row r="23" spans="2:10" x14ac:dyDescent="0.25">
      <c r="C23" t="s">
        <v>13</v>
      </c>
      <c r="G23" s="18">
        <v>5</v>
      </c>
    </row>
    <row r="24" spans="2:10" x14ac:dyDescent="0.25">
      <c r="C24" t="s">
        <v>14</v>
      </c>
      <c r="G24" s="19">
        <v>37000</v>
      </c>
    </row>
    <row r="25" spans="2:10" x14ac:dyDescent="0.25">
      <c r="C25" t="s">
        <v>8</v>
      </c>
      <c r="H25" s="3">
        <f>G23*(G24/1000)</f>
        <v>185</v>
      </c>
      <c r="I25" s="3">
        <v>0</v>
      </c>
      <c r="J25" s="3">
        <f>SUM(H25, I25)</f>
        <v>185</v>
      </c>
    </row>
    <row r="27" spans="2:10" x14ac:dyDescent="0.25">
      <c r="B27" t="s">
        <v>120</v>
      </c>
    </row>
    <row r="28" spans="2:10" x14ac:dyDescent="0.25">
      <c r="C28" t="s">
        <v>217</v>
      </c>
      <c r="G28" s="17">
        <v>3</v>
      </c>
    </row>
    <row r="29" spans="2:10" x14ac:dyDescent="0.25">
      <c r="C29" t="s">
        <v>17</v>
      </c>
      <c r="G29" s="18">
        <v>57</v>
      </c>
    </row>
    <row r="30" spans="2:10" x14ac:dyDescent="0.25">
      <c r="C30" t="s">
        <v>122</v>
      </c>
      <c r="H30" s="3">
        <f>G28*G29</f>
        <v>171</v>
      </c>
      <c r="I30" s="3">
        <v>0</v>
      </c>
      <c r="J30" s="3">
        <f>SUM(H30, I30)</f>
        <v>171</v>
      </c>
    </row>
    <row r="32" spans="2:10" x14ac:dyDescent="0.25">
      <c r="B32" t="s">
        <v>121</v>
      </c>
    </row>
    <row r="33" spans="1:10" x14ac:dyDescent="0.25">
      <c r="C33" t="s">
        <v>123</v>
      </c>
      <c r="G33" s="23">
        <v>0</v>
      </c>
    </row>
    <row r="34" spans="1:10" x14ac:dyDescent="0.25">
      <c r="C34" t="s">
        <v>125</v>
      </c>
      <c r="G34" s="22">
        <v>2.5000000000000001E-2</v>
      </c>
    </row>
    <row r="35" spans="1:10" x14ac:dyDescent="0.25">
      <c r="C35" t="s">
        <v>124</v>
      </c>
      <c r="H35" s="3">
        <f>G33*G34</f>
        <v>0</v>
      </c>
      <c r="I35" s="3">
        <v>0</v>
      </c>
      <c r="J35" s="3">
        <f>SUM(H35, I35)</f>
        <v>0</v>
      </c>
    </row>
    <row r="37" spans="1:10" x14ac:dyDescent="0.25">
      <c r="B37" t="s">
        <v>23</v>
      </c>
      <c r="H37" s="18">
        <v>0</v>
      </c>
      <c r="I37" s="3">
        <v>0</v>
      </c>
      <c r="J37" s="3">
        <f t="shared" ref="J37:J43" si="0">SUM(H37, I37)</f>
        <v>0</v>
      </c>
    </row>
    <row r="38" spans="1:10" x14ac:dyDescent="0.25">
      <c r="B38" t="s">
        <v>24</v>
      </c>
      <c r="H38" s="18">
        <v>0</v>
      </c>
      <c r="I38" s="3">
        <v>0</v>
      </c>
      <c r="J38" s="3">
        <f t="shared" si="0"/>
        <v>0</v>
      </c>
    </row>
    <row r="39" spans="1:10" x14ac:dyDescent="0.25">
      <c r="B39" t="s">
        <v>25</v>
      </c>
      <c r="H39" s="18">
        <v>0</v>
      </c>
      <c r="I39" s="3">
        <v>0</v>
      </c>
      <c r="J39" s="3">
        <f t="shared" si="0"/>
        <v>0</v>
      </c>
    </row>
    <row r="40" spans="1:10" x14ac:dyDescent="0.25">
      <c r="B40" t="s">
        <v>26</v>
      </c>
      <c r="H40" s="18">
        <v>40</v>
      </c>
      <c r="I40" s="3">
        <v>0</v>
      </c>
      <c r="J40" s="3">
        <f t="shared" si="0"/>
        <v>40</v>
      </c>
    </row>
    <row r="41" spans="1:10" x14ac:dyDescent="0.25">
      <c r="B41" t="s">
        <v>27</v>
      </c>
      <c r="H41" s="18">
        <v>10</v>
      </c>
      <c r="I41" s="3">
        <v>0</v>
      </c>
      <c r="J41" s="3">
        <f t="shared" si="0"/>
        <v>10</v>
      </c>
    </row>
    <row r="42" spans="1:10" x14ac:dyDescent="0.25">
      <c r="B42" t="s">
        <v>28</v>
      </c>
      <c r="H42" s="18">
        <v>15</v>
      </c>
      <c r="I42" s="3">
        <v>0</v>
      </c>
      <c r="J42" s="3">
        <f t="shared" si="0"/>
        <v>15</v>
      </c>
    </row>
    <row r="43" spans="1:10" x14ac:dyDescent="0.25">
      <c r="B43" t="s">
        <v>115</v>
      </c>
      <c r="G43" s="20">
        <v>7.0000000000000007E-2</v>
      </c>
      <c r="H43" s="3">
        <f>((SUM(H20,H25, H30,H35,H37:H39, H42)*0.5))*$G$43</f>
        <v>14.183645000000002</v>
      </c>
      <c r="I43" s="3">
        <v>0</v>
      </c>
      <c r="J43" s="3">
        <f t="shared" si="0"/>
        <v>14.183645000000002</v>
      </c>
    </row>
    <row r="45" spans="1:10" x14ac:dyDescent="0.25">
      <c r="B45" t="s">
        <v>35</v>
      </c>
      <c r="H45" s="3">
        <f>SUM(H20, H25, H30, H35, H37:H43)</f>
        <v>469.43064500000003</v>
      </c>
      <c r="I45" s="3">
        <f>SUM(I20, I25, I30, I35, I37:I43)</f>
        <v>0</v>
      </c>
      <c r="J45" s="3">
        <f>SUM(H45, I45)</f>
        <v>469.43064500000003</v>
      </c>
    </row>
    <row r="47" spans="1:10" x14ac:dyDescent="0.25">
      <c r="A47" s="7" t="s">
        <v>116</v>
      </c>
    </row>
    <row r="48" spans="1:10" x14ac:dyDescent="0.25">
      <c r="H48" s="4" t="s">
        <v>11</v>
      </c>
      <c r="I48" s="4" t="s">
        <v>12</v>
      </c>
      <c r="J48" s="4" t="s">
        <v>6</v>
      </c>
    </row>
    <row r="49" spans="2:12" x14ac:dyDescent="0.25">
      <c r="H49" s="4"/>
      <c r="I49" s="4"/>
    </row>
    <row r="50" spans="2:12" x14ac:dyDescent="0.25">
      <c r="B50" t="s">
        <v>171</v>
      </c>
      <c r="H50" s="18">
        <v>0.99</v>
      </c>
      <c r="I50" s="18">
        <v>4.2</v>
      </c>
      <c r="J50" s="3">
        <f>SUM(H50, I50)</f>
        <v>5.19</v>
      </c>
    </row>
    <row r="51" spans="2:12" x14ac:dyDescent="0.25">
      <c r="B51" t="s">
        <v>133</v>
      </c>
      <c r="H51" s="18">
        <v>2.48</v>
      </c>
      <c r="I51" s="18">
        <v>10.59</v>
      </c>
      <c r="J51" s="3">
        <f t="shared" ref="J51:J64" si="1">SUM(H51, I51)</f>
        <v>13.07</v>
      </c>
    </row>
    <row r="52" spans="2:12" x14ac:dyDescent="0.25">
      <c r="B52" t="s">
        <v>173</v>
      </c>
      <c r="H52" s="18">
        <v>4.6100000000000003</v>
      </c>
      <c r="I52" s="18">
        <v>12.11</v>
      </c>
      <c r="J52" s="3">
        <f t="shared" si="1"/>
        <v>16.72</v>
      </c>
    </row>
    <row r="53" spans="2:12" x14ac:dyDescent="0.25">
      <c r="B53" t="s">
        <v>90</v>
      </c>
      <c r="H53" s="18">
        <v>2.99</v>
      </c>
      <c r="I53" s="18">
        <v>14.37</v>
      </c>
      <c r="J53" s="3">
        <f t="shared" si="1"/>
        <v>17.36</v>
      </c>
    </row>
    <row r="54" spans="2:12" x14ac:dyDescent="0.25">
      <c r="B54" t="s">
        <v>31</v>
      </c>
      <c r="H54" s="18">
        <v>3.86</v>
      </c>
      <c r="I54" s="18">
        <v>14.16</v>
      </c>
      <c r="J54" s="3">
        <f t="shared" si="1"/>
        <v>18.02</v>
      </c>
    </row>
    <row r="55" spans="2:12" x14ac:dyDescent="0.25">
      <c r="B55" t="s">
        <v>91</v>
      </c>
      <c r="H55" s="18">
        <v>4.1500000000000004</v>
      </c>
      <c r="I55" s="18">
        <v>13.12</v>
      </c>
      <c r="J55" s="3">
        <f t="shared" si="1"/>
        <v>17.27</v>
      </c>
    </row>
    <row r="56" spans="2:12" x14ac:dyDescent="0.25">
      <c r="B56" t="s">
        <v>174</v>
      </c>
      <c r="H56" s="18">
        <v>9.81</v>
      </c>
      <c r="I56" s="18">
        <v>16.2</v>
      </c>
      <c r="J56" s="3">
        <f t="shared" si="1"/>
        <v>26.009999999999998</v>
      </c>
      <c r="L56" s="3"/>
    </row>
    <row r="57" spans="2:12" x14ac:dyDescent="0.25">
      <c r="B57" t="s">
        <v>93</v>
      </c>
      <c r="H57" s="18">
        <v>0.96</v>
      </c>
      <c r="I57" s="18">
        <v>9.3800000000000008</v>
      </c>
      <c r="J57" s="3">
        <f t="shared" si="1"/>
        <v>10.34</v>
      </c>
    </row>
    <row r="58" spans="2:12" x14ac:dyDescent="0.25">
      <c r="B58" t="s">
        <v>93</v>
      </c>
      <c r="H58" s="18">
        <v>0.96</v>
      </c>
      <c r="I58" s="18">
        <v>9.3800000000000008</v>
      </c>
      <c r="J58" s="3">
        <f t="shared" si="1"/>
        <v>10.34</v>
      </c>
    </row>
    <row r="59" spans="2:12" x14ac:dyDescent="0.25">
      <c r="B59" t="s">
        <v>94</v>
      </c>
      <c r="H59" s="18">
        <v>2.4900000000000002</v>
      </c>
      <c r="I59" s="18">
        <v>12.67</v>
      </c>
      <c r="J59" s="3">
        <f t="shared" si="1"/>
        <v>15.16</v>
      </c>
    </row>
    <row r="60" spans="2:12" x14ac:dyDescent="0.25">
      <c r="B60" t="s">
        <v>94</v>
      </c>
      <c r="H60" s="18">
        <v>2.4900000000000002</v>
      </c>
      <c r="I60" s="18">
        <v>12.67</v>
      </c>
      <c r="J60" s="3">
        <f t="shared" si="1"/>
        <v>15.16</v>
      </c>
    </row>
    <row r="61" spans="2:12" x14ac:dyDescent="0.25">
      <c r="B61" t="s">
        <v>33</v>
      </c>
      <c r="H61" s="18">
        <v>0</v>
      </c>
      <c r="I61" s="18">
        <v>0</v>
      </c>
      <c r="J61" s="3">
        <f t="shared" si="1"/>
        <v>0</v>
      </c>
    </row>
    <row r="62" spans="2:12" x14ac:dyDescent="0.25">
      <c r="B62" t="s">
        <v>33</v>
      </c>
      <c r="H62" s="18">
        <v>0</v>
      </c>
      <c r="I62" s="18">
        <v>0</v>
      </c>
      <c r="J62" s="3">
        <f t="shared" si="1"/>
        <v>0</v>
      </c>
    </row>
    <row r="63" spans="2:12" x14ac:dyDescent="0.25">
      <c r="H63" s="3"/>
      <c r="I63" s="3"/>
      <c r="J63" s="3"/>
    </row>
    <row r="64" spans="2:12" x14ac:dyDescent="0.25">
      <c r="B64" t="s">
        <v>35</v>
      </c>
      <c r="H64" s="3">
        <f>SUM((H50*$G$28), (H51*($G$33/1000)), H52:H62)</f>
        <v>35.290000000000006</v>
      </c>
      <c r="I64" s="3">
        <f>SUM((I50*$G$28), (I51*($G$33/1000)), I52:I62)</f>
        <v>126.66</v>
      </c>
      <c r="J64" s="3">
        <f t="shared" si="1"/>
        <v>161.94999999999999</v>
      </c>
    </row>
    <row r="66" spans="1:10" x14ac:dyDescent="0.25">
      <c r="A66" s="7" t="s">
        <v>36</v>
      </c>
    </row>
    <row r="67" spans="1:10" x14ac:dyDescent="0.25">
      <c r="H67" s="4" t="s">
        <v>11</v>
      </c>
      <c r="I67" s="4" t="s">
        <v>12</v>
      </c>
      <c r="J67" s="4" t="s">
        <v>6</v>
      </c>
    </row>
    <row r="69" spans="1:10" x14ac:dyDescent="0.25">
      <c r="B69" t="s">
        <v>37</v>
      </c>
      <c r="H69" s="18">
        <v>9.31</v>
      </c>
      <c r="I69" s="18">
        <v>33.08</v>
      </c>
      <c r="J69" s="3">
        <f>H69+I69</f>
        <v>42.39</v>
      </c>
    </row>
    <row r="70" spans="1:10" x14ac:dyDescent="0.25">
      <c r="H70" s="25"/>
      <c r="I70" s="25"/>
      <c r="J70" s="3"/>
    </row>
    <row r="71" spans="1:10" x14ac:dyDescent="0.25">
      <c r="B71" t="s">
        <v>38</v>
      </c>
    </row>
    <row r="72" spans="1:10" x14ac:dyDescent="0.25">
      <c r="C72" t="s">
        <v>112</v>
      </c>
      <c r="G72" s="18">
        <v>0.15</v>
      </c>
      <c r="H72" s="3">
        <f>$G$72*$I$5</f>
        <v>22.695</v>
      </c>
      <c r="I72" s="3">
        <v>0</v>
      </c>
      <c r="J72" s="3">
        <f>H72+I72</f>
        <v>22.695</v>
      </c>
    </row>
    <row r="74" spans="1:10" x14ac:dyDescent="0.25">
      <c r="B74" t="s">
        <v>39</v>
      </c>
    </row>
    <row r="75" spans="1:10" x14ac:dyDescent="0.25">
      <c r="C75" t="s">
        <v>113</v>
      </c>
      <c r="G75" s="21">
        <v>0.05</v>
      </c>
    </row>
    <row r="76" spans="1:10" x14ac:dyDescent="0.25">
      <c r="C76" t="s">
        <v>114</v>
      </c>
      <c r="G76" s="17">
        <v>3</v>
      </c>
    </row>
    <row r="77" spans="1:10" x14ac:dyDescent="0.25">
      <c r="C77" t="s">
        <v>40</v>
      </c>
      <c r="H77" s="3">
        <f>$G$75*$G$76*$I$5</f>
        <v>22.695000000000004</v>
      </c>
      <c r="I77" s="3">
        <v>0</v>
      </c>
      <c r="J77" s="3">
        <f>SUM(H77, I77)</f>
        <v>22.695000000000004</v>
      </c>
    </row>
    <row r="79" spans="1:10" x14ac:dyDescent="0.25">
      <c r="B79" t="s">
        <v>35</v>
      </c>
      <c r="H79" s="3">
        <f>SUM(H69, H72, H77)</f>
        <v>54.7</v>
      </c>
      <c r="I79" s="3">
        <f t="shared" ref="I79:J79" si="2">SUM(I69, I72, I77)</f>
        <v>33.08</v>
      </c>
      <c r="J79" s="3">
        <f t="shared" si="2"/>
        <v>87.780000000000015</v>
      </c>
    </row>
    <row r="81" spans="1:10" x14ac:dyDescent="0.25">
      <c r="A81" s="7" t="s">
        <v>43</v>
      </c>
    </row>
    <row r="83" spans="1:10" x14ac:dyDescent="0.25">
      <c r="B83" t="s">
        <v>41</v>
      </c>
    </row>
    <row r="84" spans="1:10" x14ac:dyDescent="0.25">
      <c r="C84" t="s">
        <v>44</v>
      </c>
      <c r="G84" s="18">
        <v>3.35</v>
      </c>
    </row>
    <row r="85" spans="1:10" x14ac:dyDescent="0.25">
      <c r="C85" t="s">
        <v>45</v>
      </c>
      <c r="G85" s="18">
        <v>20</v>
      </c>
    </row>
    <row r="86" spans="1:10" x14ac:dyDescent="0.25">
      <c r="C86" t="s">
        <v>46</v>
      </c>
      <c r="H86" s="3">
        <v>0</v>
      </c>
      <c r="I86" s="3">
        <f>G84*G85</f>
        <v>67</v>
      </c>
      <c r="J86" s="3">
        <f>SUM(H86, I86)</f>
        <v>67</v>
      </c>
    </row>
    <row r="88" spans="1:10" x14ac:dyDescent="0.25">
      <c r="B88" t="s">
        <v>42</v>
      </c>
    </row>
    <row r="89" spans="1:10" x14ac:dyDescent="0.25">
      <c r="C89" t="s">
        <v>44</v>
      </c>
      <c r="G89" s="18">
        <v>1</v>
      </c>
    </row>
    <row r="90" spans="1:10" x14ac:dyDescent="0.25">
      <c r="C90" t="s">
        <v>45</v>
      </c>
      <c r="G90" s="18">
        <v>25</v>
      </c>
    </row>
    <row r="91" spans="1:10" x14ac:dyDescent="0.25">
      <c r="C91" t="s">
        <v>42</v>
      </c>
      <c r="H91" s="3">
        <v>0</v>
      </c>
      <c r="I91" s="3">
        <f>G89*G90</f>
        <v>25</v>
      </c>
      <c r="J91" s="3">
        <f>SUM(H91, I91)</f>
        <v>25</v>
      </c>
    </row>
    <row r="93" spans="1:10" x14ac:dyDescent="0.25">
      <c r="B93" t="s">
        <v>35</v>
      </c>
      <c r="H93" s="3">
        <f>SUM(H86, H91)</f>
        <v>0</v>
      </c>
      <c r="I93" s="3">
        <f>SUM(I86, I91)</f>
        <v>92</v>
      </c>
      <c r="J93" s="3">
        <f>SUM(H93, I93)</f>
        <v>92</v>
      </c>
    </row>
    <row r="95" spans="1:10" x14ac:dyDescent="0.25">
      <c r="A95" s="7" t="s">
        <v>47</v>
      </c>
    </row>
    <row r="97" spans="1:10" x14ac:dyDescent="0.25">
      <c r="B97" t="s">
        <v>48</v>
      </c>
      <c r="H97" s="3">
        <v>0</v>
      </c>
      <c r="I97" s="18">
        <v>255</v>
      </c>
      <c r="J97" s="3">
        <f>SUM(H97, I97)</f>
        <v>255</v>
      </c>
    </row>
    <row r="98" spans="1:10" x14ac:dyDescent="0.25">
      <c r="H98" s="3"/>
      <c r="I98" s="3"/>
    </row>
    <row r="99" spans="1:10" x14ac:dyDescent="0.25">
      <c r="A99" s="7" t="s">
        <v>117</v>
      </c>
    </row>
    <row r="101" spans="1:10" x14ac:dyDescent="0.25">
      <c r="B101" t="s">
        <v>51</v>
      </c>
      <c r="H101" s="3">
        <f>SUM(H45, H64, H79, H93, H97)</f>
        <v>559.42064500000004</v>
      </c>
      <c r="I101" s="3">
        <f>SUM(I45, I64, I79, I93, I97)</f>
        <v>506.74</v>
      </c>
      <c r="J101" s="3">
        <f>SUM(H101, I101)</f>
        <v>1066.1606449999999</v>
      </c>
    </row>
    <row r="102" spans="1:10" x14ac:dyDescent="0.25">
      <c r="B102" t="s">
        <v>52</v>
      </c>
      <c r="H102" s="3">
        <f>H101/I5</f>
        <v>3.6974266027759417</v>
      </c>
      <c r="I102" s="3">
        <f>I101/I5</f>
        <v>3.349239920687376</v>
      </c>
      <c r="J102" s="3">
        <f>SUM(H102, I102)</f>
        <v>7.0466665234633172</v>
      </c>
    </row>
    <row r="104" spans="1:10" x14ac:dyDescent="0.25">
      <c r="A104" s="7" t="s">
        <v>118</v>
      </c>
    </row>
    <row r="106" spans="1:10" x14ac:dyDescent="0.25">
      <c r="B106" t="s">
        <v>51</v>
      </c>
      <c r="J106" s="3">
        <f>J12-H101</f>
        <v>736.36935500000016</v>
      </c>
    </row>
    <row r="107" spans="1:10" x14ac:dyDescent="0.25">
      <c r="B107" t="s">
        <v>52</v>
      </c>
      <c r="J107" s="3">
        <f>J106/I5</f>
        <v>4.8669488103106415</v>
      </c>
    </row>
    <row r="109" spans="1:10" x14ac:dyDescent="0.25">
      <c r="A109" s="7" t="s">
        <v>119</v>
      </c>
    </row>
    <row r="111" spans="1:10" x14ac:dyDescent="0.25">
      <c r="B111" t="s">
        <v>51</v>
      </c>
      <c r="J111" s="3">
        <f>J12-J101</f>
        <v>229.62935500000026</v>
      </c>
    </row>
    <row r="112" spans="1:10" x14ac:dyDescent="0.25">
      <c r="B112" t="s">
        <v>52</v>
      </c>
      <c r="J112" s="3">
        <f>J111/I5</f>
        <v>1.5177088896232667</v>
      </c>
    </row>
  </sheetData>
  <printOptions headings="1" gridLines="1"/>
  <pageMargins left="0.7" right="0.7" top="0.75" bottom="0.75" header="0.3" footer="0.3"/>
  <pageSetup scale="4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11"/>
  <sheetViews>
    <sheetView zoomScale="150" zoomScaleNormal="150" workbookViewId="0"/>
  </sheetViews>
  <sheetFormatPr defaultRowHeight="15" x14ac:dyDescent="0.25"/>
  <sheetData>
    <row r="1" spans="1:10" x14ac:dyDescent="0.25">
      <c r="A1" s="1" t="s">
        <v>95</v>
      </c>
    </row>
    <row r="3" spans="1:10" x14ac:dyDescent="0.25">
      <c r="A3" s="7" t="s">
        <v>1</v>
      </c>
    </row>
    <row r="5" spans="1:10" x14ac:dyDescent="0.25">
      <c r="B5" t="s">
        <v>3</v>
      </c>
      <c r="I5" s="17">
        <v>46.3</v>
      </c>
      <c r="J5" s="3"/>
    </row>
    <row r="6" spans="1:10" x14ac:dyDescent="0.25">
      <c r="B6" t="s">
        <v>2</v>
      </c>
      <c r="I6" s="18">
        <v>24.85</v>
      </c>
      <c r="J6" s="2"/>
    </row>
    <row r="7" spans="1:10" x14ac:dyDescent="0.25">
      <c r="B7" t="s">
        <v>9</v>
      </c>
      <c r="J7" s="24">
        <f>I5*I6</f>
        <v>1150.5550000000001</v>
      </c>
    </row>
    <row r="8" spans="1:10" x14ac:dyDescent="0.25">
      <c r="B8" t="s">
        <v>4</v>
      </c>
      <c r="J8" s="18">
        <v>0</v>
      </c>
    </row>
    <row r="9" spans="1:10" x14ac:dyDescent="0.25">
      <c r="B9" t="s">
        <v>5</v>
      </c>
      <c r="J9" s="18">
        <v>35</v>
      </c>
    </row>
    <row r="10" spans="1:10" x14ac:dyDescent="0.25">
      <c r="B10" t="s">
        <v>10</v>
      </c>
      <c r="J10" s="18">
        <v>0</v>
      </c>
    </row>
    <row r="12" spans="1:10" x14ac:dyDescent="0.25">
      <c r="B12" t="s">
        <v>6</v>
      </c>
      <c r="J12" s="24">
        <f>SUM(J7:J10)</f>
        <v>1185.5550000000001</v>
      </c>
    </row>
    <row r="14" spans="1:10" x14ac:dyDescent="0.25">
      <c r="A14" s="7" t="s">
        <v>34</v>
      </c>
    </row>
    <row r="15" spans="1:10" x14ac:dyDescent="0.25">
      <c r="H15" s="4" t="s">
        <v>11</v>
      </c>
      <c r="I15" s="4" t="s">
        <v>12</v>
      </c>
      <c r="J15" s="4" t="s">
        <v>6</v>
      </c>
    </row>
    <row r="16" spans="1:10" x14ac:dyDescent="0.25">
      <c r="H16" s="4"/>
      <c r="I16" s="4"/>
      <c r="J16" s="4"/>
    </row>
    <row r="17" spans="2:10" x14ac:dyDescent="0.25">
      <c r="B17" t="s">
        <v>167</v>
      </c>
    </row>
    <row r="18" spans="2:10" x14ac:dyDescent="0.25">
      <c r="C18" t="s">
        <v>169</v>
      </c>
      <c r="G18" s="18">
        <v>29.78</v>
      </c>
    </row>
    <row r="19" spans="2:10" x14ac:dyDescent="0.25">
      <c r="C19" t="s">
        <v>127</v>
      </c>
      <c r="G19" s="31">
        <v>1.1499999999999999</v>
      </c>
    </row>
    <row r="20" spans="2:10" x14ac:dyDescent="0.25">
      <c r="C20" t="s">
        <v>8</v>
      </c>
      <c r="H20" s="3">
        <f>G18*G19</f>
        <v>34.247</v>
      </c>
      <c r="I20" s="3">
        <v>0</v>
      </c>
      <c r="J20" s="3">
        <f>SUM(H20, I20)</f>
        <v>34.247</v>
      </c>
    </row>
    <row r="21" spans="2:10" x14ac:dyDescent="0.25">
      <c r="H21" s="4"/>
      <c r="I21" s="4"/>
      <c r="J21" s="4"/>
    </row>
    <row r="22" spans="2:10" x14ac:dyDescent="0.25">
      <c r="B22" t="s">
        <v>168</v>
      </c>
    </row>
    <row r="23" spans="2:10" x14ac:dyDescent="0.25">
      <c r="C23" t="s">
        <v>13</v>
      </c>
      <c r="G23" s="18">
        <v>0.6</v>
      </c>
    </row>
    <row r="24" spans="2:10" x14ac:dyDescent="0.25">
      <c r="C24" t="s">
        <v>14</v>
      </c>
      <c r="G24" s="19">
        <v>170000</v>
      </c>
    </row>
    <row r="25" spans="2:10" x14ac:dyDescent="0.25">
      <c r="C25" t="s">
        <v>8</v>
      </c>
      <c r="H25" s="3">
        <f>G23*(G24/1000)</f>
        <v>102</v>
      </c>
      <c r="I25" s="3">
        <v>0</v>
      </c>
      <c r="J25" s="3">
        <f>SUM(H25, I25)</f>
        <v>102</v>
      </c>
    </row>
    <row r="27" spans="2:10" x14ac:dyDescent="0.25">
      <c r="B27" t="s">
        <v>120</v>
      </c>
    </row>
    <row r="28" spans="2:10" x14ac:dyDescent="0.25">
      <c r="C28" t="s">
        <v>217</v>
      </c>
      <c r="G28" s="17">
        <v>1</v>
      </c>
    </row>
    <row r="29" spans="2:10" x14ac:dyDescent="0.25">
      <c r="C29" t="s">
        <v>17</v>
      </c>
      <c r="G29" s="18">
        <v>57</v>
      </c>
    </row>
    <row r="30" spans="2:10" x14ac:dyDescent="0.25">
      <c r="C30" t="s">
        <v>122</v>
      </c>
      <c r="H30" s="3">
        <f>G28*G29</f>
        <v>57</v>
      </c>
      <c r="I30" s="3">
        <v>0</v>
      </c>
      <c r="J30" s="3">
        <f>SUM(H30, I30)</f>
        <v>57</v>
      </c>
    </row>
    <row r="32" spans="2:10" x14ac:dyDescent="0.25">
      <c r="B32" t="s">
        <v>121</v>
      </c>
    </row>
    <row r="33" spans="1:10" x14ac:dyDescent="0.25">
      <c r="C33" t="s">
        <v>123</v>
      </c>
      <c r="G33" s="23">
        <v>0</v>
      </c>
    </row>
    <row r="34" spans="1:10" x14ac:dyDescent="0.25">
      <c r="C34" t="s">
        <v>125</v>
      </c>
      <c r="G34" s="22">
        <v>2.5000000000000001E-2</v>
      </c>
    </row>
    <row r="35" spans="1:10" x14ac:dyDescent="0.25">
      <c r="C35" t="s">
        <v>124</v>
      </c>
      <c r="H35" s="3">
        <f>G33*G34</f>
        <v>0</v>
      </c>
      <c r="I35" s="3">
        <v>0</v>
      </c>
      <c r="J35" s="3">
        <f>SUM(H35, I35)</f>
        <v>0</v>
      </c>
    </row>
    <row r="37" spans="1:10" x14ac:dyDescent="0.25">
      <c r="B37" t="s">
        <v>23</v>
      </c>
      <c r="H37" s="18">
        <v>0</v>
      </c>
      <c r="I37" s="3">
        <v>0</v>
      </c>
      <c r="J37" s="3">
        <f t="shared" ref="J37:J43" si="0">SUM(H37, I37)</f>
        <v>0</v>
      </c>
    </row>
    <row r="38" spans="1:10" x14ac:dyDescent="0.25">
      <c r="B38" t="s">
        <v>24</v>
      </c>
      <c r="H38" s="18">
        <v>0</v>
      </c>
      <c r="I38" s="3">
        <v>0</v>
      </c>
      <c r="J38" s="3">
        <f t="shared" si="0"/>
        <v>0</v>
      </c>
    </row>
    <row r="39" spans="1:10" x14ac:dyDescent="0.25">
      <c r="B39" t="s">
        <v>25</v>
      </c>
      <c r="H39" s="18">
        <v>0</v>
      </c>
      <c r="I39" s="3">
        <v>0</v>
      </c>
      <c r="J39" s="3">
        <f t="shared" si="0"/>
        <v>0</v>
      </c>
    </row>
    <row r="40" spans="1:10" x14ac:dyDescent="0.25">
      <c r="B40" t="s">
        <v>26</v>
      </c>
      <c r="H40" s="18">
        <v>35</v>
      </c>
      <c r="I40" s="3">
        <v>0</v>
      </c>
      <c r="J40" s="3">
        <f t="shared" si="0"/>
        <v>35</v>
      </c>
    </row>
    <row r="41" spans="1:10" x14ac:dyDescent="0.25">
      <c r="B41" t="s">
        <v>27</v>
      </c>
      <c r="H41" s="18">
        <v>10</v>
      </c>
      <c r="I41" s="3">
        <v>0</v>
      </c>
      <c r="J41" s="3">
        <f t="shared" si="0"/>
        <v>10</v>
      </c>
    </row>
    <row r="42" spans="1:10" x14ac:dyDescent="0.25">
      <c r="B42" t="s">
        <v>28</v>
      </c>
      <c r="H42" s="18">
        <v>10</v>
      </c>
      <c r="I42" s="3">
        <v>0</v>
      </c>
      <c r="J42" s="3">
        <f t="shared" si="0"/>
        <v>10</v>
      </c>
    </row>
    <row r="43" spans="1:10" x14ac:dyDescent="0.25">
      <c r="B43" t="s">
        <v>115</v>
      </c>
      <c r="G43" s="20">
        <v>7.0000000000000007E-2</v>
      </c>
      <c r="H43" s="3">
        <f>((SUM(H20,H25,H30,H35,H37:H39, H42)*0.5))*$G$43</f>
        <v>7.1136450000000009</v>
      </c>
      <c r="I43" s="3">
        <v>0</v>
      </c>
      <c r="J43" s="3">
        <f t="shared" si="0"/>
        <v>7.1136450000000009</v>
      </c>
    </row>
    <row r="45" spans="1:10" x14ac:dyDescent="0.25">
      <c r="B45" t="s">
        <v>35</v>
      </c>
      <c r="H45" s="3">
        <f>SUM(H20, H25, H30, H35, H37:H43)</f>
        <v>255.36064500000001</v>
      </c>
      <c r="I45" s="3">
        <f>SUM(I20, I25, I30, I35, I37:I43)</f>
        <v>0</v>
      </c>
      <c r="J45" s="3">
        <f>SUM(H45, I45)</f>
        <v>255.36064500000001</v>
      </c>
    </row>
    <row r="47" spans="1:10" x14ac:dyDescent="0.25">
      <c r="A47" s="7" t="s">
        <v>116</v>
      </c>
    </row>
    <row r="48" spans="1:10" x14ac:dyDescent="0.25">
      <c r="H48" s="4" t="s">
        <v>11</v>
      </c>
      <c r="I48" s="4" t="s">
        <v>12</v>
      </c>
      <c r="J48" s="4" t="s">
        <v>6</v>
      </c>
    </row>
    <row r="49" spans="2:10" x14ac:dyDescent="0.25">
      <c r="H49" s="4"/>
      <c r="I49" s="4"/>
    </row>
    <row r="50" spans="2:10" x14ac:dyDescent="0.25">
      <c r="B50" t="s">
        <v>171</v>
      </c>
      <c r="H50" s="18">
        <v>0.99</v>
      </c>
      <c r="I50" s="18">
        <v>4.2</v>
      </c>
      <c r="J50" s="3">
        <f>SUM(H50, I50)</f>
        <v>5.19</v>
      </c>
    </row>
    <row r="51" spans="2:10" x14ac:dyDescent="0.25">
      <c r="B51" t="s">
        <v>133</v>
      </c>
      <c r="H51" s="18">
        <v>2.48</v>
      </c>
      <c r="I51" s="18">
        <v>10.59</v>
      </c>
      <c r="J51" s="3">
        <f t="shared" ref="J51:J64" si="1">SUM(H51, I51)</f>
        <v>13.07</v>
      </c>
    </row>
    <row r="52" spans="2:10" x14ac:dyDescent="0.25">
      <c r="B52" t="s">
        <v>173</v>
      </c>
      <c r="H52" s="18">
        <v>4.6100000000000003</v>
      </c>
      <c r="I52" s="18">
        <v>12.11</v>
      </c>
      <c r="J52" s="3">
        <f t="shared" si="1"/>
        <v>16.72</v>
      </c>
    </row>
    <row r="53" spans="2:10" x14ac:dyDescent="0.25">
      <c r="B53" t="s">
        <v>170</v>
      </c>
      <c r="H53" s="18">
        <v>3.86</v>
      </c>
      <c r="I53" s="18">
        <v>14.16</v>
      </c>
      <c r="J53" s="3">
        <f t="shared" si="1"/>
        <v>18.02</v>
      </c>
    </row>
    <row r="54" spans="2:10" x14ac:dyDescent="0.25">
      <c r="B54" t="s">
        <v>91</v>
      </c>
      <c r="H54" s="18">
        <v>4.1500000000000004</v>
      </c>
      <c r="I54" s="18">
        <v>13.12</v>
      </c>
      <c r="J54" s="3">
        <f t="shared" si="1"/>
        <v>17.27</v>
      </c>
    </row>
    <row r="55" spans="2:10" x14ac:dyDescent="0.25">
      <c r="B55" t="s">
        <v>172</v>
      </c>
      <c r="H55" s="18">
        <v>9.81</v>
      </c>
      <c r="I55" s="18">
        <v>16.2</v>
      </c>
      <c r="J55" s="3">
        <f t="shared" si="1"/>
        <v>26.009999999999998</v>
      </c>
    </row>
    <row r="56" spans="2:10" x14ac:dyDescent="0.25">
      <c r="B56" t="s">
        <v>93</v>
      </c>
      <c r="H56" s="18">
        <v>0.96</v>
      </c>
      <c r="I56" s="18">
        <v>9.3800000000000008</v>
      </c>
      <c r="J56" s="3">
        <f t="shared" si="1"/>
        <v>10.34</v>
      </c>
    </row>
    <row r="57" spans="2:10" x14ac:dyDescent="0.25">
      <c r="B57" t="s">
        <v>93</v>
      </c>
      <c r="H57" s="18">
        <v>0.96</v>
      </c>
      <c r="I57" s="18">
        <v>9.3800000000000008</v>
      </c>
      <c r="J57" s="3">
        <f t="shared" si="1"/>
        <v>10.34</v>
      </c>
    </row>
    <row r="58" spans="2:10" x14ac:dyDescent="0.25">
      <c r="B58" t="s">
        <v>94</v>
      </c>
      <c r="H58" s="18">
        <v>2.4900000000000002</v>
      </c>
      <c r="I58" s="18">
        <v>12.67</v>
      </c>
      <c r="J58" s="3">
        <f t="shared" si="1"/>
        <v>15.16</v>
      </c>
    </row>
    <row r="59" spans="2:10" x14ac:dyDescent="0.25">
      <c r="B59" t="s">
        <v>94</v>
      </c>
      <c r="H59" s="18">
        <v>2.4900000000000002</v>
      </c>
      <c r="I59" s="18">
        <v>12.67</v>
      </c>
      <c r="J59" s="3">
        <f t="shared" si="1"/>
        <v>15.16</v>
      </c>
    </row>
    <row r="60" spans="2:10" x14ac:dyDescent="0.25">
      <c r="B60" t="s">
        <v>33</v>
      </c>
      <c r="H60" s="18">
        <v>0</v>
      </c>
      <c r="I60" s="18">
        <v>0</v>
      </c>
      <c r="J60" s="3">
        <f t="shared" si="1"/>
        <v>0</v>
      </c>
    </row>
    <row r="61" spans="2:10" x14ac:dyDescent="0.25">
      <c r="B61" t="s">
        <v>33</v>
      </c>
      <c r="H61" s="18">
        <v>0</v>
      </c>
      <c r="I61" s="18">
        <v>0</v>
      </c>
      <c r="J61" s="3">
        <f t="shared" si="1"/>
        <v>0</v>
      </c>
    </row>
    <row r="62" spans="2:10" x14ac:dyDescent="0.25">
      <c r="B62" t="s">
        <v>33</v>
      </c>
      <c r="H62" s="18">
        <v>0</v>
      </c>
      <c r="I62" s="18">
        <v>0</v>
      </c>
      <c r="J62" s="3">
        <f t="shared" si="1"/>
        <v>0</v>
      </c>
    </row>
    <row r="63" spans="2:10" x14ac:dyDescent="0.25">
      <c r="H63" s="3"/>
      <c r="I63" s="3"/>
      <c r="J63" s="3"/>
    </row>
    <row r="64" spans="2:10" x14ac:dyDescent="0.25">
      <c r="B64" t="s">
        <v>35</v>
      </c>
      <c r="H64" s="3">
        <f>SUM((H50*($G$28/2000)), (H51*($G$33/1000)), H52:H62)</f>
        <v>29.330495000000006</v>
      </c>
      <c r="I64" s="3">
        <f>SUM((I50*($G$28/2000)), (I51*($G$33/1000)), I52:I62)</f>
        <v>99.692099999999996</v>
      </c>
      <c r="J64" s="3">
        <f t="shared" si="1"/>
        <v>129.022595</v>
      </c>
    </row>
    <row r="66" spans="1:10" x14ac:dyDescent="0.25">
      <c r="A66" s="7" t="s">
        <v>36</v>
      </c>
    </row>
    <row r="67" spans="1:10" x14ac:dyDescent="0.25">
      <c r="H67" s="4" t="s">
        <v>11</v>
      </c>
      <c r="I67" s="4" t="s">
        <v>12</v>
      </c>
      <c r="J67" s="4" t="s">
        <v>6</v>
      </c>
    </row>
    <row r="69" spans="1:10" x14ac:dyDescent="0.25">
      <c r="B69" t="s">
        <v>37</v>
      </c>
      <c r="H69" s="18">
        <v>12.08</v>
      </c>
      <c r="I69" s="18">
        <v>27.65</v>
      </c>
      <c r="J69" s="3">
        <f>H69+I69</f>
        <v>39.729999999999997</v>
      </c>
    </row>
    <row r="70" spans="1:10" x14ac:dyDescent="0.25">
      <c r="B70" t="s">
        <v>38</v>
      </c>
    </row>
    <row r="71" spans="1:10" x14ac:dyDescent="0.25">
      <c r="C71" t="s">
        <v>112</v>
      </c>
      <c r="G71" s="18">
        <v>0.15</v>
      </c>
      <c r="H71" s="3">
        <f>$G$71*$I$5</f>
        <v>6.9449999999999994</v>
      </c>
      <c r="I71" s="3">
        <v>0</v>
      </c>
      <c r="J71" s="3">
        <f>H71+I71</f>
        <v>6.9449999999999994</v>
      </c>
    </row>
    <row r="73" spans="1:10" x14ac:dyDescent="0.25">
      <c r="B73" t="s">
        <v>39</v>
      </c>
    </row>
    <row r="74" spans="1:10" x14ac:dyDescent="0.25">
      <c r="C74" t="s">
        <v>113</v>
      </c>
      <c r="G74" s="18">
        <v>0</v>
      </c>
    </row>
    <row r="75" spans="1:10" x14ac:dyDescent="0.25">
      <c r="C75" t="s">
        <v>114</v>
      </c>
      <c r="G75" s="17">
        <v>0</v>
      </c>
    </row>
    <row r="76" spans="1:10" x14ac:dyDescent="0.25">
      <c r="C76" t="s">
        <v>40</v>
      </c>
      <c r="H76" s="3">
        <f>$G$74*$G$75*$I$5</f>
        <v>0</v>
      </c>
      <c r="I76" s="3">
        <v>0</v>
      </c>
      <c r="J76" s="3">
        <f>SUM(H76, I76)</f>
        <v>0</v>
      </c>
    </row>
    <row r="78" spans="1:10" x14ac:dyDescent="0.25">
      <c r="B78" t="s">
        <v>35</v>
      </c>
      <c r="H78" s="3">
        <f>SUM(H69, H71, H76)</f>
        <v>19.024999999999999</v>
      </c>
      <c r="I78" s="3">
        <f t="shared" ref="I78:J78" si="2">SUM(I69, I71, I76)</f>
        <v>27.65</v>
      </c>
      <c r="J78" s="3">
        <f t="shared" si="2"/>
        <v>46.674999999999997</v>
      </c>
    </row>
    <row r="80" spans="1:10" x14ac:dyDescent="0.25">
      <c r="A80" s="7" t="s">
        <v>43</v>
      </c>
    </row>
    <row r="82" spans="1:10" x14ac:dyDescent="0.25">
      <c r="B82" t="s">
        <v>41</v>
      </c>
    </row>
    <row r="83" spans="1:10" x14ac:dyDescent="0.25">
      <c r="C83" t="s">
        <v>44</v>
      </c>
      <c r="G83" s="18">
        <v>1.95</v>
      </c>
    </row>
    <row r="84" spans="1:10" x14ac:dyDescent="0.25">
      <c r="C84" t="s">
        <v>45</v>
      </c>
      <c r="G84" s="18">
        <v>20</v>
      </c>
    </row>
    <row r="85" spans="1:10" x14ac:dyDescent="0.25">
      <c r="C85" t="s">
        <v>46</v>
      </c>
      <c r="H85" s="3">
        <v>0</v>
      </c>
      <c r="I85" s="3">
        <f>G83*G84</f>
        <v>39</v>
      </c>
      <c r="J85" s="3">
        <f>SUM(H85, I85)</f>
        <v>39</v>
      </c>
    </row>
    <row r="87" spans="1:10" x14ac:dyDescent="0.25">
      <c r="B87" t="s">
        <v>42</v>
      </c>
    </row>
    <row r="88" spans="1:10" x14ac:dyDescent="0.25">
      <c r="C88" t="s">
        <v>44</v>
      </c>
      <c r="G88" s="18">
        <v>1</v>
      </c>
    </row>
    <row r="89" spans="1:10" x14ac:dyDescent="0.25">
      <c r="C89" t="s">
        <v>45</v>
      </c>
      <c r="G89" s="18">
        <v>25</v>
      </c>
    </row>
    <row r="90" spans="1:10" x14ac:dyDescent="0.25">
      <c r="C90" t="s">
        <v>42</v>
      </c>
      <c r="H90" s="3">
        <v>0</v>
      </c>
      <c r="I90" s="3">
        <f>G88*G89</f>
        <v>25</v>
      </c>
      <c r="J90" s="3">
        <f>SUM(H90, I90)</f>
        <v>25</v>
      </c>
    </row>
    <row r="92" spans="1:10" x14ac:dyDescent="0.25">
      <c r="B92" t="s">
        <v>35</v>
      </c>
      <c r="H92" s="3">
        <f>SUM(H85, H90)</f>
        <v>0</v>
      </c>
      <c r="I92" s="3">
        <f>SUM(I85, I90)</f>
        <v>64</v>
      </c>
      <c r="J92" s="3">
        <f>SUM(H92, I92)</f>
        <v>64</v>
      </c>
    </row>
    <row r="94" spans="1:10" x14ac:dyDescent="0.25">
      <c r="A94" s="7" t="s">
        <v>47</v>
      </c>
    </row>
    <row r="96" spans="1:10" x14ac:dyDescent="0.25">
      <c r="B96" t="s">
        <v>48</v>
      </c>
      <c r="H96" s="3">
        <v>0</v>
      </c>
      <c r="I96" s="18">
        <v>255</v>
      </c>
      <c r="J96" s="3">
        <f>SUM(H96, I96)</f>
        <v>255</v>
      </c>
    </row>
    <row r="97" spans="1:10" x14ac:dyDescent="0.25">
      <c r="H97" s="3"/>
      <c r="I97" s="3"/>
    </row>
    <row r="98" spans="1:10" x14ac:dyDescent="0.25">
      <c r="A98" s="7" t="s">
        <v>117</v>
      </c>
    </row>
    <row r="100" spans="1:10" x14ac:dyDescent="0.25">
      <c r="B100" t="s">
        <v>51</v>
      </c>
      <c r="H100" s="3">
        <f>SUM(H45, H64, H78, H92, H96)</f>
        <v>303.71614</v>
      </c>
      <c r="I100" s="3">
        <f>SUM(I45, I64, I78, I92, I96)</f>
        <v>446.34209999999996</v>
      </c>
      <c r="J100" s="3">
        <f>SUM(H100, I100)</f>
        <v>750.05823999999996</v>
      </c>
    </row>
    <row r="101" spans="1:10" x14ac:dyDescent="0.25">
      <c r="B101" t="s">
        <v>52</v>
      </c>
      <c r="H101" s="3">
        <f>H100/I5</f>
        <v>6.5597438444924405</v>
      </c>
      <c r="I101" s="3">
        <f>I100/I5</f>
        <v>9.640218142548596</v>
      </c>
      <c r="J101" s="3">
        <f>SUM(H101, I101)</f>
        <v>16.199961987041036</v>
      </c>
    </row>
    <row r="103" spans="1:10" x14ac:dyDescent="0.25">
      <c r="A103" s="7" t="s">
        <v>118</v>
      </c>
    </row>
    <row r="105" spans="1:10" x14ac:dyDescent="0.25">
      <c r="B105" t="s">
        <v>51</v>
      </c>
      <c r="J105" s="3">
        <f>J12-H100</f>
        <v>881.83886000000007</v>
      </c>
    </row>
    <row r="106" spans="1:10" x14ac:dyDescent="0.25">
      <c r="B106" t="s">
        <v>52</v>
      </c>
      <c r="J106" s="3">
        <f>J105/I5</f>
        <v>19.046195680345576</v>
      </c>
    </row>
    <row r="108" spans="1:10" x14ac:dyDescent="0.25">
      <c r="A108" s="7" t="s">
        <v>119</v>
      </c>
    </row>
    <row r="110" spans="1:10" x14ac:dyDescent="0.25">
      <c r="B110" t="s">
        <v>51</v>
      </c>
      <c r="J110" s="3">
        <f>J12-J100</f>
        <v>435.49676000000011</v>
      </c>
    </row>
    <row r="111" spans="1:10" x14ac:dyDescent="0.25">
      <c r="B111" t="s">
        <v>52</v>
      </c>
      <c r="J111" s="3">
        <f>J110/I5</f>
        <v>9.4059775377969785</v>
      </c>
    </row>
  </sheetData>
  <printOptions headings="1" gridLines="1"/>
  <pageMargins left="0.7" right="0.7" top="0.75" bottom="0.75" header="0.3" footer="0.3"/>
  <pageSetup scale="4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107"/>
  <sheetViews>
    <sheetView zoomScale="150" zoomScaleNormal="150" workbookViewId="0"/>
  </sheetViews>
  <sheetFormatPr defaultRowHeight="15" x14ac:dyDescent="0.25"/>
  <sheetData>
    <row r="1" spans="1:10" x14ac:dyDescent="0.25">
      <c r="A1" s="1" t="s">
        <v>156</v>
      </c>
    </row>
    <row r="3" spans="1:10" x14ac:dyDescent="0.25">
      <c r="A3" s="7" t="s">
        <v>1</v>
      </c>
    </row>
    <row r="5" spans="1:10" x14ac:dyDescent="0.25">
      <c r="B5" t="s">
        <v>3</v>
      </c>
      <c r="I5" s="17">
        <v>79.599999999999994</v>
      </c>
      <c r="J5" s="3"/>
    </row>
    <row r="6" spans="1:10" x14ac:dyDescent="0.25">
      <c r="B6" t="s">
        <v>2</v>
      </c>
      <c r="I6" s="18">
        <v>6.95</v>
      </c>
      <c r="J6" s="2"/>
    </row>
    <row r="7" spans="1:10" x14ac:dyDescent="0.25">
      <c r="B7" t="s">
        <v>9</v>
      </c>
      <c r="J7" s="24">
        <f>(I5*I6)</f>
        <v>553.22</v>
      </c>
    </row>
    <row r="8" spans="1:10" x14ac:dyDescent="0.25">
      <c r="B8" t="s">
        <v>4</v>
      </c>
      <c r="J8" s="18">
        <v>0</v>
      </c>
    </row>
    <row r="9" spans="1:10" x14ac:dyDescent="0.25">
      <c r="B9" t="s">
        <v>5</v>
      </c>
      <c r="J9" s="18">
        <v>0</v>
      </c>
    </row>
    <row r="10" spans="1:10" x14ac:dyDescent="0.25">
      <c r="B10" t="s">
        <v>10</v>
      </c>
      <c r="J10" s="18">
        <v>0</v>
      </c>
    </row>
    <row r="12" spans="1:10" x14ac:dyDescent="0.25">
      <c r="B12" t="s">
        <v>6</v>
      </c>
      <c r="J12" s="24">
        <f>SUM(J7:J10)</f>
        <v>553.22</v>
      </c>
    </row>
    <row r="14" spans="1:10" x14ac:dyDescent="0.25">
      <c r="A14" s="7" t="s">
        <v>34</v>
      </c>
    </row>
    <row r="15" spans="1:10" x14ac:dyDescent="0.25">
      <c r="H15" s="4" t="s">
        <v>11</v>
      </c>
      <c r="I15" s="4" t="s">
        <v>12</v>
      </c>
      <c r="J15" s="4" t="s">
        <v>6</v>
      </c>
    </row>
    <row r="16" spans="1:10" x14ac:dyDescent="0.25">
      <c r="H16" s="4"/>
      <c r="I16" s="4"/>
      <c r="J16" s="4"/>
    </row>
    <row r="17" spans="2:10" x14ac:dyDescent="0.25">
      <c r="B17" t="s">
        <v>167</v>
      </c>
    </row>
    <row r="18" spans="2:10" x14ac:dyDescent="0.25">
      <c r="C18" t="s">
        <v>128</v>
      </c>
      <c r="G18" s="18">
        <v>29.78</v>
      </c>
    </row>
    <row r="19" spans="2:10" x14ac:dyDescent="0.25">
      <c r="C19" t="s">
        <v>127</v>
      </c>
      <c r="G19" s="31">
        <v>0</v>
      </c>
    </row>
    <row r="20" spans="2:10" x14ac:dyDescent="0.25">
      <c r="C20" t="s">
        <v>8</v>
      </c>
      <c r="H20" s="3">
        <f>G18*G19</f>
        <v>0</v>
      </c>
      <c r="I20" s="3">
        <v>0</v>
      </c>
      <c r="J20" s="3">
        <f>SUM(H20, I20)</f>
        <v>0</v>
      </c>
    </row>
    <row r="22" spans="2:10" x14ac:dyDescent="0.25">
      <c r="B22" t="s">
        <v>175</v>
      </c>
    </row>
    <row r="23" spans="2:10" x14ac:dyDescent="0.25">
      <c r="C23" t="s">
        <v>128</v>
      </c>
      <c r="G23" s="18">
        <v>22</v>
      </c>
    </row>
    <row r="24" spans="2:10" x14ac:dyDescent="0.25">
      <c r="C24" t="s">
        <v>127</v>
      </c>
      <c r="G24" s="23">
        <v>2</v>
      </c>
    </row>
    <row r="25" spans="2:10" x14ac:dyDescent="0.25">
      <c r="C25" t="s">
        <v>8</v>
      </c>
      <c r="H25" s="3">
        <f>G23*G24</f>
        <v>44</v>
      </c>
      <c r="I25" s="3">
        <v>0</v>
      </c>
      <c r="J25" s="3">
        <f>SUM(H25, I25)</f>
        <v>44</v>
      </c>
    </row>
    <row r="27" spans="2:10" x14ac:dyDescent="0.25">
      <c r="B27" t="s">
        <v>120</v>
      </c>
    </row>
    <row r="28" spans="2:10" x14ac:dyDescent="0.25">
      <c r="C28" t="s">
        <v>217</v>
      </c>
      <c r="G28" s="17">
        <v>2</v>
      </c>
    </row>
    <row r="29" spans="2:10" x14ac:dyDescent="0.25">
      <c r="C29" t="s">
        <v>132</v>
      </c>
      <c r="G29" s="18">
        <v>57</v>
      </c>
    </row>
    <row r="30" spans="2:10" x14ac:dyDescent="0.25">
      <c r="C30" t="s">
        <v>122</v>
      </c>
      <c r="H30" s="3">
        <f>G28*G29</f>
        <v>114</v>
      </c>
      <c r="I30" s="3">
        <v>0</v>
      </c>
      <c r="J30" s="3">
        <f>SUM(H30, I30)</f>
        <v>114</v>
      </c>
    </row>
    <row r="32" spans="2:10" x14ac:dyDescent="0.25">
      <c r="B32" t="s">
        <v>121</v>
      </c>
    </row>
    <row r="33" spans="1:10" x14ac:dyDescent="0.25">
      <c r="C33" t="s">
        <v>123</v>
      </c>
      <c r="G33" s="23">
        <v>0</v>
      </c>
    </row>
    <row r="34" spans="1:10" x14ac:dyDescent="0.25">
      <c r="C34" t="s">
        <v>125</v>
      </c>
      <c r="G34" s="22">
        <v>2.5000000000000001E-2</v>
      </c>
    </row>
    <row r="35" spans="1:10" x14ac:dyDescent="0.25">
      <c r="C35" t="s">
        <v>124</v>
      </c>
      <c r="H35" s="3">
        <f>G33*G34</f>
        <v>0</v>
      </c>
      <c r="I35" s="3">
        <v>0</v>
      </c>
      <c r="J35" s="3">
        <f>SUM(H35, I35)</f>
        <v>0</v>
      </c>
    </row>
    <row r="37" spans="1:10" x14ac:dyDescent="0.25">
      <c r="B37" t="s">
        <v>23</v>
      </c>
      <c r="H37" s="18">
        <v>0</v>
      </c>
      <c r="I37" s="3">
        <v>0</v>
      </c>
      <c r="J37" s="3">
        <f t="shared" ref="J37:J43" si="0">SUM(H37, I37)</f>
        <v>0</v>
      </c>
    </row>
    <row r="38" spans="1:10" x14ac:dyDescent="0.25">
      <c r="B38" t="s">
        <v>24</v>
      </c>
      <c r="H38" s="18">
        <v>0</v>
      </c>
      <c r="I38" s="3">
        <v>0</v>
      </c>
      <c r="J38" s="3">
        <f t="shared" si="0"/>
        <v>0</v>
      </c>
    </row>
    <row r="39" spans="1:10" x14ac:dyDescent="0.25">
      <c r="B39" t="s">
        <v>25</v>
      </c>
      <c r="H39" s="18">
        <v>0</v>
      </c>
      <c r="I39" s="3">
        <v>0</v>
      </c>
      <c r="J39" s="3">
        <f t="shared" si="0"/>
        <v>0</v>
      </c>
    </row>
    <row r="40" spans="1:10" x14ac:dyDescent="0.25">
      <c r="B40" t="s">
        <v>26</v>
      </c>
      <c r="H40" s="18">
        <v>0</v>
      </c>
      <c r="I40" s="3">
        <v>0</v>
      </c>
      <c r="J40" s="3">
        <f t="shared" si="0"/>
        <v>0</v>
      </c>
    </row>
    <row r="41" spans="1:10" x14ac:dyDescent="0.25">
      <c r="B41" t="s">
        <v>27</v>
      </c>
      <c r="H41" s="18">
        <v>10</v>
      </c>
      <c r="I41" s="3">
        <v>0</v>
      </c>
      <c r="J41" s="3">
        <f t="shared" si="0"/>
        <v>10</v>
      </c>
    </row>
    <row r="42" spans="1:10" x14ac:dyDescent="0.25">
      <c r="B42" t="s">
        <v>28</v>
      </c>
      <c r="H42" s="18">
        <v>20</v>
      </c>
      <c r="I42" s="3">
        <v>0</v>
      </c>
      <c r="J42" s="3">
        <f t="shared" si="0"/>
        <v>20</v>
      </c>
    </row>
    <row r="43" spans="1:10" x14ac:dyDescent="0.25">
      <c r="B43" t="s">
        <v>115</v>
      </c>
      <c r="G43" s="20">
        <v>7.0000000000000007E-2</v>
      </c>
      <c r="H43" s="3">
        <f>((SUM(H20,H25, H30,H35,H37:H39, H42)*0.5))*$G$43</f>
        <v>6.23</v>
      </c>
      <c r="I43" s="3">
        <v>0</v>
      </c>
      <c r="J43" s="3">
        <f t="shared" si="0"/>
        <v>6.23</v>
      </c>
    </row>
    <row r="45" spans="1:10" x14ac:dyDescent="0.25">
      <c r="B45" t="s">
        <v>35</v>
      </c>
      <c r="H45" s="3">
        <f>SUM(H20, H25, H30, H35, H37:H43)</f>
        <v>194.23</v>
      </c>
      <c r="I45" s="3">
        <f>SUM(I20, I35, I30, I35, I37:I43)</f>
        <v>0</v>
      </c>
      <c r="J45" s="3">
        <f>SUM(H45, I45)</f>
        <v>194.23</v>
      </c>
    </row>
    <row r="47" spans="1:10" x14ac:dyDescent="0.25">
      <c r="A47" s="7" t="s">
        <v>116</v>
      </c>
    </row>
    <row r="48" spans="1:10" x14ac:dyDescent="0.25">
      <c r="H48" s="4" t="s">
        <v>11</v>
      </c>
      <c r="I48" s="4" t="s">
        <v>12</v>
      </c>
      <c r="J48" s="4" t="s">
        <v>6</v>
      </c>
    </row>
    <row r="49" spans="2:12" x14ac:dyDescent="0.25">
      <c r="H49" s="4"/>
      <c r="I49" s="4"/>
    </row>
    <row r="50" spans="2:12" x14ac:dyDescent="0.25">
      <c r="B50" t="s">
        <v>171</v>
      </c>
      <c r="H50" s="18">
        <v>0.99</v>
      </c>
      <c r="I50" s="18">
        <v>4.2</v>
      </c>
      <c r="J50" s="3">
        <f>SUM(H50, I50)</f>
        <v>5.19</v>
      </c>
      <c r="L50" s="3"/>
    </row>
    <row r="51" spans="2:12" x14ac:dyDescent="0.25">
      <c r="B51" t="s">
        <v>133</v>
      </c>
      <c r="H51" s="18">
        <v>2.48</v>
      </c>
      <c r="I51" s="18">
        <v>10.59</v>
      </c>
      <c r="J51" s="3">
        <f t="shared" ref="J51:J64" si="1">SUM(H51, I51)</f>
        <v>13.07</v>
      </c>
      <c r="L51" s="3"/>
    </row>
    <row r="52" spans="2:12" x14ac:dyDescent="0.25">
      <c r="B52" t="s">
        <v>173</v>
      </c>
      <c r="H52" s="18">
        <v>0</v>
      </c>
      <c r="I52" s="18">
        <v>0</v>
      </c>
      <c r="J52" s="3">
        <f t="shared" si="1"/>
        <v>0</v>
      </c>
      <c r="L52" s="3"/>
    </row>
    <row r="53" spans="2:12" x14ac:dyDescent="0.25">
      <c r="B53" t="s">
        <v>170</v>
      </c>
      <c r="H53" s="18">
        <v>3.86</v>
      </c>
      <c r="I53" s="18">
        <v>14.16</v>
      </c>
      <c r="J53" s="3">
        <f t="shared" si="1"/>
        <v>18.02</v>
      </c>
    </row>
    <row r="54" spans="2:12" x14ac:dyDescent="0.25">
      <c r="B54" t="s">
        <v>91</v>
      </c>
      <c r="H54" s="18">
        <v>4.1500000000000004</v>
      </c>
      <c r="I54" s="18">
        <v>13.12</v>
      </c>
      <c r="J54" s="3">
        <f t="shared" si="1"/>
        <v>17.27</v>
      </c>
    </row>
    <row r="55" spans="2:12" x14ac:dyDescent="0.25">
      <c r="B55" t="s">
        <v>184</v>
      </c>
      <c r="H55" s="18">
        <v>4.6100000000000003</v>
      </c>
      <c r="I55" s="18">
        <v>12.11</v>
      </c>
      <c r="J55" s="3">
        <f t="shared" si="1"/>
        <v>16.72</v>
      </c>
    </row>
    <row r="56" spans="2:12" x14ac:dyDescent="0.25">
      <c r="B56" t="s">
        <v>33</v>
      </c>
      <c r="H56" s="18">
        <v>0</v>
      </c>
      <c r="I56" s="18">
        <v>0</v>
      </c>
      <c r="J56" s="3">
        <f t="shared" si="1"/>
        <v>0</v>
      </c>
    </row>
    <row r="57" spans="2:12" x14ac:dyDescent="0.25">
      <c r="B57" t="s">
        <v>33</v>
      </c>
      <c r="H57" s="18">
        <v>0</v>
      </c>
      <c r="I57" s="18">
        <v>0</v>
      </c>
      <c r="J57" s="3">
        <f t="shared" si="1"/>
        <v>0</v>
      </c>
    </row>
    <row r="58" spans="2:12" x14ac:dyDescent="0.25">
      <c r="B58" t="s">
        <v>33</v>
      </c>
      <c r="H58" s="18">
        <v>0</v>
      </c>
      <c r="I58" s="18">
        <v>0</v>
      </c>
      <c r="J58" s="3">
        <f t="shared" si="1"/>
        <v>0</v>
      </c>
    </row>
    <row r="59" spans="2:12" x14ac:dyDescent="0.25">
      <c r="B59" t="s">
        <v>33</v>
      </c>
      <c r="H59" s="18">
        <v>0</v>
      </c>
      <c r="I59" s="18">
        <v>0</v>
      </c>
      <c r="J59" s="3">
        <f t="shared" si="1"/>
        <v>0</v>
      </c>
    </row>
    <row r="60" spans="2:12" x14ac:dyDescent="0.25">
      <c r="B60" t="s">
        <v>33</v>
      </c>
      <c r="H60" s="18">
        <v>0</v>
      </c>
      <c r="I60" s="18">
        <v>0</v>
      </c>
      <c r="J60" s="3">
        <f t="shared" si="1"/>
        <v>0</v>
      </c>
    </row>
    <row r="61" spans="2:12" x14ac:dyDescent="0.25">
      <c r="B61" t="s">
        <v>33</v>
      </c>
      <c r="H61" s="18">
        <v>0</v>
      </c>
      <c r="I61" s="18">
        <v>0</v>
      </c>
      <c r="J61" s="3">
        <f t="shared" si="1"/>
        <v>0</v>
      </c>
    </row>
    <row r="62" spans="2:12" x14ac:dyDescent="0.25">
      <c r="B62" t="s">
        <v>33</v>
      </c>
      <c r="H62" s="18">
        <v>0</v>
      </c>
      <c r="I62" s="18">
        <v>0</v>
      </c>
      <c r="J62" s="3">
        <f t="shared" si="1"/>
        <v>0</v>
      </c>
    </row>
    <row r="63" spans="2:12" x14ac:dyDescent="0.25">
      <c r="H63" s="3"/>
      <c r="I63" s="3"/>
      <c r="J63" s="3"/>
    </row>
    <row r="64" spans="2:12" x14ac:dyDescent="0.25">
      <c r="B64" t="s">
        <v>35</v>
      </c>
      <c r="H64" s="3">
        <f>SUM((H50*$G$28), (H51*($G$33/1000)), H52:H62)</f>
        <v>14.600000000000001</v>
      </c>
      <c r="I64" s="3">
        <f>SUM((I50*$G$28), (I51*($G$33/1000)), I52:I62)</f>
        <v>47.79</v>
      </c>
      <c r="J64" s="3">
        <f t="shared" si="1"/>
        <v>62.39</v>
      </c>
    </row>
    <row r="66" spans="1:10" x14ac:dyDescent="0.25">
      <c r="A66" s="7" t="s">
        <v>36</v>
      </c>
    </row>
    <row r="67" spans="1:10" x14ac:dyDescent="0.25">
      <c r="H67" s="4" t="s">
        <v>11</v>
      </c>
      <c r="I67" s="4" t="s">
        <v>12</v>
      </c>
      <c r="J67" s="4" t="s">
        <v>6</v>
      </c>
    </row>
    <row r="69" spans="1:10" x14ac:dyDescent="0.25">
      <c r="B69" t="s">
        <v>215</v>
      </c>
      <c r="H69" s="18">
        <v>11.58</v>
      </c>
      <c r="I69" s="18">
        <v>28.98</v>
      </c>
      <c r="J69" s="3">
        <f>H69+I69</f>
        <v>40.56</v>
      </c>
    </row>
    <row r="70" spans="1:10" x14ac:dyDescent="0.25">
      <c r="H70" s="25"/>
      <c r="I70" s="25"/>
      <c r="J70" s="3"/>
    </row>
    <row r="71" spans="1:10" x14ac:dyDescent="0.25">
      <c r="B71" t="s">
        <v>130</v>
      </c>
    </row>
    <row r="72" spans="1:10" x14ac:dyDescent="0.25">
      <c r="C72" t="s">
        <v>112</v>
      </c>
      <c r="G72" s="18">
        <v>0.15</v>
      </c>
      <c r="H72" s="3">
        <f>$G$72*$I$5</f>
        <v>11.94</v>
      </c>
      <c r="I72" s="3">
        <v>0</v>
      </c>
      <c r="J72" s="3">
        <f>SUM(H72, I72)</f>
        <v>11.94</v>
      </c>
    </row>
    <row r="74" spans="1:10" x14ac:dyDescent="0.25">
      <c r="B74" t="s">
        <v>35</v>
      </c>
      <c r="H74" s="3">
        <f xml:space="preserve"> SUM(H69, H72)</f>
        <v>23.52</v>
      </c>
      <c r="I74" s="3">
        <f xml:space="preserve"> SUM(I69, I72)</f>
        <v>28.98</v>
      </c>
      <c r="J74" s="3">
        <f>SUM(H74, I74)</f>
        <v>52.5</v>
      </c>
    </row>
    <row r="76" spans="1:10" x14ac:dyDescent="0.25">
      <c r="A76" s="7" t="s">
        <v>43</v>
      </c>
    </row>
    <row r="78" spans="1:10" x14ac:dyDescent="0.25">
      <c r="B78" t="s">
        <v>41</v>
      </c>
    </row>
    <row r="79" spans="1:10" x14ac:dyDescent="0.25">
      <c r="C79" t="s">
        <v>44</v>
      </c>
      <c r="G79" s="18">
        <v>3.3</v>
      </c>
    </row>
    <row r="80" spans="1:10" x14ac:dyDescent="0.25">
      <c r="C80" t="s">
        <v>45</v>
      </c>
      <c r="G80" s="18">
        <v>20</v>
      </c>
    </row>
    <row r="81" spans="1:10" x14ac:dyDescent="0.25">
      <c r="C81" t="s">
        <v>46</v>
      </c>
      <c r="H81" s="3">
        <v>0</v>
      </c>
      <c r="I81" s="3">
        <f>G79*G80</f>
        <v>66</v>
      </c>
      <c r="J81" s="3">
        <f>SUM(H81, I81)</f>
        <v>66</v>
      </c>
    </row>
    <row r="83" spans="1:10" x14ac:dyDescent="0.25">
      <c r="B83" t="s">
        <v>42</v>
      </c>
    </row>
    <row r="84" spans="1:10" x14ac:dyDescent="0.25">
      <c r="C84" t="s">
        <v>44</v>
      </c>
      <c r="G84" s="18">
        <v>1</v>
      </c>
    </row>
    <row r="85" spans="1:10" x14ac:dyDescent="0.25">
      <c r="C85" t="s">
        <v>45</v>
      </c>
      <c r="G85" s="18">
        <v>25</v>
      </c>
    </row>
    <row r="86" spans="1:10" x14ac:dyDescent="0.25">
      <c r="C86" t="s">
        <v>42</v>
      </c>
      <c r="H86" s="3">
        <v>0</v>
      </c>
      <c r="I86" s="3">
        <f>G84*G85</f>
        <v>25</v>
      </c>
      <c r="J86" s="3">
        <f>SUM(H86, I86)</f>
        <v>25</v>
      </c>
    </row>
    <row r="88" spans="1:10" x14ac:dyDescent="0.25">
      <c r="B88" t="s">
        <v>35</v>
      </c>
      <c r="H88" s="3">
        <f>SUM(H81, H86)</f>
        <v>0</v>
      </c>
      <c r="I88" s="3">
        <f>SUM(I81, I86)</f>
        <v>91</v>
      </c>
      <c r="J88" s="3">
        <f>SUM(H88, I88)</f>
        <v>91</v>
      </c>
    </row>
    <row r="90" spans="1:10" x14ac:dyDescent="0.25">
      <c r="A90" s="7" t="s">
        <v>47</v>
      </c>
    </row>
    <row r="92" spans="1:10" x14ac:dyDescent="0.25">
      <c r="B92" t="s">
        <v>48</v>
      </c>
      <c r="H92" s="3">
        <v>0</v>
      </c>
      <c r="I92" s="18">
        <v>255</v>
      </c>
      <c r="J92" s="3">
        <f>SUM(H92, I92)</f>
        <v>255</v>
      </c>
    </row>
    <row r="93" spans="1:10" x14ac:dyDescent="0.25">
      <c r="H93" s="3"/>
      <c r="I93" s="3"/>
    </row>
    <row r="94" spans="1:10" x14ac:dyDescent="0.25">
      <c r="A94" s="7" t="s">
        <v>117</v>
      </c>
    </row>
    <row r="96" spans="1:10" x14ac:dyDescent="0.25">
      <c r="B96" t="s">
        <v>51</v>
      </c>
      <c r="H96" s="3">
        <f>SUM(H45, H64, H74, H88, H92)</f>
        <v>232.35</v>
      </c>
      <c r="I96" s="3">
        <f>SUM(I45, I64, I74, I88, I92)</f>
        <v>422.77</v>
      </c>
      <c r="J96" s="3">
        <f>SUM(H96, I96)</f>
        <v>655.12</v>
      </c>
    </row>
    <row r="97" spans="1:10" x14ac:dyDescent="0.25">
      <c r="B97" t="s">
        <v>52</v>
      </c>
      <c r="H97" s="3">
        <f>H96/$I$5</f>
        <v>2.9189698492462313</v>
      </c>
      <c r="I97" s="3">
        <f t="shared" ref="I97:J97" si="2">I96/$I$5</f>
        <v>5.3111809045226135</v>
      </c>
      <c r="J97" s="3">
        <f t="shared" si="2"/>
        <v>8.2301507537688448</v>
      </c>
    </row>
    <row r="99" spans="1:10" x14ac:dyDescent="0.25">
      <c r="A99" s="7" t="s">
        <v>118</v>
      </c>
    </row>
    <row r="101" spans="1:10" x14ac:dyDescent="0.25">
      <c r="B101" t="s">
        <v>51</v>
      </c>
      <c r="J101" s="3">
        <f>J12-H96</f>
        <v>320.87</v>
      </c>
    </row>
    <row r="102" spans="1:10" x14ac:dyDescent="0.25">
      <c r="B102" t="s">
        <v>52</v>
      </c>
      <c r="J102" s="3">
        <f>J101/$I$5</f>
        <v>4.0310301507537689</v>
      </c>
    </row>
    <row r="104" spans="1:10" x14ac:dyDescent="0.25">
      <c r="A104" s="7" t="s">
        <v>119</v>
      </c>
    </row>
    <row r="106" spans="1:10" x14ac:dyDescent="0.25">
      <c r="B106" t="s">
        <v>51</v>
      </c>
      <c r="J106" s="3">
        <f>J12-J96</f>
        <v>-101.89999999999998</v>
      </c>
    </row>
    <row r="107" spans="1:10" x14ac:dyDescent="0.25">
      <c r="B107" t="s">
        <v>52</v>
      </c>
      <c r="J107" s="3">
        <f>J106/$I$5</f>
        <v>-1.2801507537688441</v>
      </c>
    </row>
  </sheetData>
  <printOptions headings="1" gridLines="1"/>
  <pageMargins left="0.7" right="0.7" top="0.75" bottom="0.75" header="0.3" footer="0.3"/>
  <pageSetup scale="4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84"/>
  <sheetViews>
    <sheetView zoomScale="150" zoomScaleNormal="150" workbookViewId="0"/>
  </sheetViews>
  <sheetFormatPr defaultRowHeight="15" x14ac:dyDescent="0.25"/>
  <cols>
    <col min="1" max="4" width="10.7109375" customWidth="1"/>
    <col min="5" max="5" width="12.7109375" customWidth="1"/>
    <col min="6" max="6" width="4.7109375" customWidth="1"/>
  </cols>
  <sheetData>
    <row r="1" spans="1:16" x14ac:dyDescent="0.25">
      <c r="A1" s="1" t="s">
        <v>157</v>
      </c>
    </row>
    <row r="3" spans="1:16" x14ac:dyDescent="0.25">
      <c r="B3" s="7" t="s">
        <v>74</v>
      </c>
    </row>
    <row r="5" spans="1:16" ht="15" customHeight="1" x14ac:dyDescent="0.25">
      <c r="E5" s="10" t="s">
        <v>131</v>
      </c>
      <c r="G5" s="4" t="s">
        <v>54</v>
      </c>
      <c r="H5" s="4" t="s">
        <v>55</v>
      </c>
      <c r="I5" s="4" t="s">
        <v>56</v>
      </c>
      <c r="J5" s="4" t="s">
        <v>57</v>
      </c>
      <c r="K5" s="4" t="s">
        <v>58</v>
      </c>
      <c r="L5" s="4" t="s">
        <v>59</v>
      </c>
      <c r="M5" s="4" t="s">
        <v>60</v>
      </c>
      <c r="N5" s="4" t="s">
        <v>61</v>
      </c>
      <c r="O5" s="4" t="s">
        <v>62</v>
      </c>
      <c r="P5" s="4" t="s">
        <v>63</v>
      </c>
    </row>
    <row r="7" spans="1:16" x14ac:dyDescent="0.25">
      <c r="B7" t="s">
        <v>0</v>
      </c>
      <c r="E7" s="35">
        <v>2</v>
      </c>
      <c r="G7" s="3">
        <f>'Conventional Corn'!$I$5</f>
        <v>198</v>
      </c>
      <c r="H7" s="3">
        <f>G7+$E$7</f>
        <v>200</v>
      </c>
      <c r="I7" s="3">
        <f t="shared" ref="I7:P7" si="0">H7+$E$7</f>
        <v>202</v>
      </c>
      <c r="J7" s="3">
        <f t="shared" si="0"/>
        <v>204</v>
      </c>
      <c r="K7" s="3">
        <f t="shared" si="0"/>
        <v>206</v>
      </c>
      <c r="L7" s="3">
        <f t="shared" si="0"/>
        <v>208</v>
      </c>
      <c r="M7" s="3">
        <f t="shared" si="0"/>
        <v>210</v>
      </c>
      <c r="N7" s="3">
        <f t="shared" si="0"/>
        <v>212</v>
      </c>
      <c r="O7" s="3">
        <f t="shared" si="0"/>
        <v>214</v>
      </c>
      <c r="P7" s="3">
        <f t="shared" si="0"/>
        <v>216</v>
      </c>
    </row>
    <row r="8" spans="1:16" x14ac:dyDescent="0.25">
      <c r="B8" t="s">
        <v>66</v>
      </c>
      <c r="E8" s="35">
        <v>0.5</v>
      </c>
      <c r="G8" s="3">
        <f>'Conventional Soybeans'!$I$5</f>
        <v>60</v>
      </c>
      <c r="H8" s="3">
        <f>G8+$E$8</f>
        <v>60.5</v>
      </c>
      <c r="I8" s="3">
        <f t="shared" ref="I8:P8" si="1">H8+$E$8</f>
        <v>61</v>
      </c>
      <c r="J8" s="3">
        <f t="shared" si="1"/>
        <v>61.5</v>
      </c>
      <c r="K8" s="3">
        <f t="shared" si="1"/>
        <v>62</v>
      </c>
      <c r="L8" s="3">
        <f t="shared" si="1"/>
        <v>62.5</v>
      </c>
      <c r="M8" s="3">
        <f t="shared" si="1"/>
        <v>63</v>
      </c>
      <c r="N8" s="3">
        <f t="shared" si="1"/>
        <v>63.5</v>
      </c>
      <c r="O8" s="3">
        <f t="shared" si="1"/>
        <v>64</v>
      </c>
      <c r="P8" s="3">
        <f t="shared" si="1"/>
        <v>64.5</v>
      </c>
    </row>
    <row r="9" spans="1:16" x14ac:dyDescent="0.25">
      <c r="B9" t="s">
        <v>140</v>
      </c>
      <c r="E9" s="35">
        <v>0.35</v>
      </c>
      <c r="G9" s="3">
        <f>'Conventional Wheat'!$I$5</f>
        <v>85</v>
      </c>
      <c r="H9" s="3">
        <f>G9+$E$9</f>
        <v>85.35</v>
      </c>
      <c r="I9" s="3">
        <f>H9+$E$9</f>
        <v>85.699999999999989</v>
      </c>
      <c r="J9" s="3">
        <f>I9+$E$9</f>
        <v>86.049999999999983</v>
      </c>
      <c r="K9" s="3">
        <f>J9+$E$9</f>
        <v>86.399999999999977</v>
      </c>
      <c r="L9" s="3">
        <f t="shared" ref="L9:N9" si="2">K9+$E$9</f>
        <v>86.749999999999972</v>
      </c>
      <c r="M9" s="3">
        <f t="shared" si="2"/>
        <v>87.099999999999966</v>
      </c>
      <c r="N9" s="3">
        <f t="shared" si="2"/>
        <v>87.44999999999996</v>
      </c>
      <c r="O9" s="3">
        <f t="shared" ref="O9:P9" si="3">N9+$E$9</f>
        <v>87.799999999999955</v>
      </c>
      <c r="P9" s="3">
        <f t="shared" si="3"/>
        <v>88.149999999999949</v>
      </c>
    </row>
    <row r="10" spans="1:16" x14ac:dyDescent="0.25">
      <c r="A10" s="1"/>
      <c r="B10" t="s">
        <v>144</v>
      </c>
      <c r="E10" s="35">
        <v>0.35</v>
      </c>
      <c r="G10" s="3">
        <f>'Transition Soybeans'!$I$5</f>
        <v>46.3</v>
      </c>
      <c r="H10" s="3">
        <f>G10+$E$10</f>
        <v>46.65</v>
      </c>
      <c r="I10" s="3">
        <f t="shared" ref="I10:P10" si="4">H10+$E$10</f>
        <v>47</v>
      </c>
      <c r="J10" s="3">
        <f t="shared" si="4"/>
        <v>47.35</v>
      </c>
      <c r="K10" s="3">
        <f t="shared" si="4"/>
        <v>47.7</v>
      </c>
      <c r="L10" s="3">
        <f t="shared" si="4"/>
        <v>48.050000000000004</v>
      </c>
      <c r="M10" s="3">
        <f t="shared" si="4"/>
        <v>48.400000000000006</v>
      </c>
      <c r="N10" s="3">
        <f t="shared" si="4"/>
        <v>48.750000000000007</v>
      </c>
      <c r="O10" s="3">
        <f t="shared" si="4"/>
        <v>49.100000000000009</v>
      </c>
      <c r="P10" s="3">
        <f t="shared" si="4"/>
        <v>49.45000000000001</v>
      </c>
    </row>
    <row r="11" spans="1:16" x14ac:dyDescent="0.25">
      <c r="B11" t="s">
        <v>145</v>
      </c>
      <c r="E11" s="35">
        <v>0.3</v>
      </c>
      <c r="G11" s="3">
        <f>'Transition Wheat'!$I$5</f>
        <v>79.599999999999994</v>
      </c>
      <c r="H11" s="3">
        <f>G11+$E$11</f>
        <v>79.899999999999991</v>
      </c>
      <c r="I11" s="3">
        <f>H11+$E$11</f>
        <v>80.199999999999989</v>
      </c>
      <c r="J11" s="3">
        <f>I11+$E$11</f>
        <v>80.499999999999986</v>
      </c>
      <c r="K11" s="3">
        <f>J11+$E$11</f>
        <v>80.799999999999983</v>
      </c>
      <c r="L11" s="3">
        <f t="shared" ref="L11:N11" si="5">K11+$E$11</f>
        <v>81.09999999999998</v>
      </c>
      <c r="M11" s="3">
        <f t="shared" si="5"/>
        <v>81.399999999999977</v>
      </c>
      <c r="N11" s="3">
        <f t="shared" si="5"/>
        <v>81.699999999999974</v>
      </c>
      <c r="O11" s="3">
        <f t="shared" ref="O11:P11" si="6">N11+$E$11</f>
        <v>81.999999999999972</v>
      </c>
      <c r="P11" s="3">
        <f t="shared" si="6"/>
        <v>82.299999999999969</v>
      </c>
    </row>
    <row r="12" spans="1:16" x14ac:dyDescent="0.25">
      <c r="B12" t="s">
        <v>72</v>
      </c>
      <c r="E12" s="35">
        <v>1.5</v>
      </c>
      <c r="G12" s="3">
        <f>'Organic Corn'!$I$5</f>
        <v>151.30000000000001</v>
      </c>
      <c r="H12" s="3">
        <f>G12+$E$12</f>
        <v>152.80000000000001</v>
      </c>
      <c r="I12" s="3">
        <f t="shared" ref="I12:P12" si="7">H12+$E$12</f>
        <v>154.30000000000001</v>
      </c>
      <c r="J12" s="3">
        <f t="shared" si="7"/>
        <v>155.80000000000001</v>
      </c>
      <c r="K12" s="3">
        <f t="shared" si="7"/>
        <v>157.30000000000001</v>
      </c>
      <c r="L12" s="3">
        <f t="shared" si="7"/>
        <v>158.80000000000001</v>
      </c>
      <c r="M12" s="3">
        <f t="shared" si="7"/>
        <v>160.30000000000001</v>
      </c>
      <c r="N12" s="3">
        <f t="shared" si="7"/>
        <v>161.80000000000001</v>
      </c>
      <c r="O12" s="3">
        <f t="shared" si="7"/>
        <v>163.30000000000001</v>
      </c>
      <c r="P12" s="3">
        <f t="shared" si="7"/>
        <v>164.8</v>
      </c>
    </row>
    <row r="13" spans="1:16" x14ac:dyDescent="0.25">
      <c r="B13" t="s">
        <v>73</v>
      </c>
      <c r="E13" s="35">
        <v>0.35</v>
      </c>
      <c r="G13" s="3">
        <f>'Organic Soybeans'!$I$5</f>
        <v>46.3</v>
      </c>
      <c r="H13" s="3">
        <f>G13+$E$13</f>
        <v>46.65</v>
      </c>
      <c r="I13" s="3">
        <f t="shared" ref="I13:P13" si="8">H13+$E$13</f>
        <v>47</v>
      </c>
      <c r="J13" s="3">
        <f t="shared" si="8"/>
        <v>47.35</v>
      </c>
      <c r="K13" s="3">
        <f t="shared" si="8"/>
        <v>47.7</v>
      </c>
      <c r="L13" s="3">
        <f t="shared" si="8"/>
        <v>48.050000000000004</v>
      </c>
      <c r="M13" s="3">
        <f t="shared" si="8"/>
        <v>48.400000000000006</v>
      </c>
      <c r="N13" s="3">
        <f t="shared" si="8"/>
        <v>48.750000000000007</v>
      </c>
      <c r="O13" s="3">
        <f t="shared" si="8"/>
        <v>49.100000000000009</v>
      </c>
      <c r="P13" s="3">
        <f t="shared" si="8"/>
        <v>49.45000000000001</v>
      </c>
    </row>
    <row r="14" spans="1:16" x14ac:dyDescent="0.25">
      <c r="B14" t="s">
        <v>146</v>
      </c>
      <c r="E14" s="35">
        <v>0.3</v>
      </c>
      <c r="G14" s="3">
        <f>'Organic Wheat'!$I$5</f>
        <v>79.599999999999994</v>
      </c>
      <c r="H14" s="3">
        <f>G14+$E$14</f>
        <v>79.899999999999991</v>
      </c>
      <c r="I14" s="3">
        <f t="shared" ref="I14:P14" si="9">H14+$E$14</f>
        <v>80.199999999999989</v>
      </c>
      <c r="J14" s="3">
        <f t="shared" si="9"/>
        <v>80.499999999999986</v>
      </c>
      <c r="K14" s="3">
        <f t="shared" si="9"/>
        <v>80.799999999999983</v>
      </c>
      <c r="L14" s="3">
        <f t="shared" si="9"/>
        <v>81.09999999999998</v>
      </c>
      <c r="M14" s="3">
        <f t="shared" si="9"/>
        <v>81.399999999999977</v>
      </c>
      <c r="N14" s="3">
        <f t="shared" si="9"/>
        <v>81.699999999999974</v>
      </c>
      <c r="O14" s="3">
        <f t="shared" si="9"/>
        <v>81.999999999999972</v>
      </c>
      <c r="P14" s="3">
        <f t="shared" si="9"/>
        <v>82.299999999999969</v>
      </c>
    </row>
    <row r="17" spans="1:16" x14ac:dyDescent="0.25">
      <c r="B17" s="7" t="s">
        <v>75</v>
      </c>
    </row>
    <row r="19" spans="1:16" x14ac:dyDescent="0.25">
      <c r="G19" s="4" t="s">
        <v>54</v>
      </c>
      <c r="H19" s="4" t="s">
        <v>55</v>
      </c>
      <c r="I19" s="4" t="s">
        <v>56</v>
      </c>
      <c r="J19" s="4" t="s">
        <v>57</v>
      </c>
      <c r="K19" s="4" t="s">
        <v>58</v>
      </c>
      <c r="L19" s="4" t="s">
        <v>59</v>
      </c>
      <c r="M19" s="4" t="s">
        <v>60</v>
      </c>
      <c r="N19" s="4" t="s">
        <v>61</v>
      </c>
      <c r="O19" s="4" t="s">
        <v>62</v>
      </c>
      <c r="P19" s="4" t="s">
        <v>63</v>
      </c>
    </row>
    <row r="20" spans="1:16" x14ac:dyDescent="0.25">
      <c r="G20" s="4"/>
      <c r="H20" s="4"/>
      <c r="I20" s="4"/>
    </row>
    <row r="21" spans="1:16" x14ac:dyDescent="0.25">
      <c r="B21" t="s">
        <v>0</v>
      </c>
      <c r="G21" s="3">
        <f>'Conventional Corn'!$I$6</f>
        <v>4.5999999999999996</v>
      </c>
      <c r="H21" s="18">
        <v>4.2</v>
      </c>
      <c r="I21" s="18">
        <v>4.2</v>
      </c>
      <c r="J21" s="18">
        <v>4.2</v>
      </c>
      <c r="K21" s="18">
        <v>4.2</v>
      </c>
      <c r="L21" s="18">
        <v>4.2</v>
      </c>
      <c r="M21" s="18">
        <v>4.2</v>
      </c>
      <c r="N21" s="18">
        <v>4.2</v>
      </c>
      <c r="O21" s="18">
        <v>4.2</v>
      </c>
      <c r="P21" s="18">
        <v>4.2</v>
      </c>
    </row>
    <row r="22" spans="1:16" x14ac:dyDescent="0.25">
      <c r="B22" t="s">
        <v>66</v>
      </c>
      <c r="G22" s="3">
        <f>'Conventional Soybeans'!$I$6</f>
        <v>11.55</v>
      </c>
      <c r="H22" s="18">
        <v>10.4</v>
      </c>
      <c r="I22" s="18">
        <v>10.4</v>
      </c>
      <c r="J22" s="18">
        <v>10.4</v>
      </c>
      <c r="K22" s="18">
        <v>10.4</v>
      </c>
      <c r="L22" s="18">
        <v>10.4</v>
      </c>
      <c r="M22" s="18">
        <v>10.4</v>
      </c>
      <c r="N22" s="18">
        <v>10.4</v>
      </c>
      <c r="O22" s="18">
        <v>10.4</v>
      </c>
      <c r="P22" s="18">
        <v>10.4</v>
      </c>
    </row>
    <row r="23" spans="1:16" x14ac:dyDescent="0.25">
      <c r="B23" t="s">
        <v>140</v>
      </c>
      <c r="G23" s="3">
        <f>'Conventional Wheat'!$I$6</f>
        <v>5.9</v>
      </c>
      <c r="H23" s="18">
        <v>5.5</v>
      </c>
      <c r="I23" s="18">
        <v>5.5</v>
      </c>
      <c r="J23" s="18">
        <v>5.5</v>
      </c>
      <c r="K23" s="18">
        <v>5.5</v>
      </c>
      <c r="L23" s="18">
        <v>5.5</v>
      </c>
      <c r="M23" s="18">
        <v>5.5</v>
      </c>
      <c r="N23" s="18">
        <v>5.5</v>
      </c>
      <c r="O23" s="18">
        <v>5.5</v>
      </c>
      <c r="P23" s="18">
        <v>5.5</v>
      </c>
    </row>
    <row r="24" spans="1:16" x14ac:dyDescent="0.25">
      <c r="A24" s="1"/>
      <c r="B24" t="s">
        <v>144</v>
      </c>
      <c r="G24" s="3">
        <f>'Transition Soybeans'!$I$6</f>
        <v>11.55</v>
      </c>
      <c r="H24" s="18">
        <v>10.4</v>
      </c>
      <c r="I24" s="18">
        <v>10.4</v>
      </c>
      <c r="J24" s="18">
        <v>10.4</v>
      </c>
      <c r="K24" s="18">
        <v>10.4</v>
      </c>
      <c r="L24" s="18">
        <v>10.4</v>
      </c>
      <c r="M24" s="18">
        <v>10.4</v>
      </c>
      <c r="N24" s="18">
        <v>10.4</v>
      </c>
      <c r="O24" s="18">
        <v>10.4</v>
      </c>
      <c r="P24" s="18">
        <v>10.4</v>
      </c>
    </row>
    <row r="25" spans="1:16" x14ac:dyDescent="0.25">
      <c r="B25" t="s">
        <v>145</v>
      </c>
      <c r="G25" s="3">
        <f>'Transition Wheat'!$I$6</f>
        <v>5.9</v>
      </c>
      <c r="H25" s="18">
        <v>5.5</v>
      </c>
      <c r="I25" s="18">
        <v>5.5</v>
      </c>
      <c r="J25" s="18">
        <v>5.5</v>
      </c>
      <c r="K25" s="18">
        <v>5.5</v>
      </c>
      <c r="L25" s="18">
        <v>5.5</v>
      </c>
      <c r="M25" s="18">
        <v>5.5</v>
      </c>
      <c r="N25" s="18">
        <v>5.5</v>
      </c>
      <c r="O25" s="18">
        <v>5.5</v>
      </c>
      <c r="P25" s="18">
        <v>5.5</v>
      </c>
    </row>
    <row r="26" spans="1:16" x14ac:dyDescent="0.25">
      <c r="B26" t="s">
        <v>72</v>
      </c>
      <c r="E26" s="3"/>
      <c r="G26" s="3">
        <f>'Organic Corn'!$I$6</f>
        <v>8.3000000000000007</v>
      </c>
      <c r="H26" s="18">
        <v>7.55</v>
      </c>
      <c r="I26" s="18">
        <v>7.55</v>
      </c>
      <c r="J26" s="18">
        <v>7.55</v>
      </c>
      <c r="K26" s="18">
        <v>7.55</v>
      </c>
      <c r="L26" s="18">
        <v>7.55</v>
      </c>
      <c r="M26" s="18">
        <v>7.55</v>
      </c>
      <c r="N26" s="18">
        <v>7.55</v>
      </c>
      <c r="O26" s="18">
        <v>7.55</v>
      </c>
      <c r="P26" s="18">
        <v>7.55</v>
      </c>
    </row>
    <row r="27" spans="1:16" x14ac:dyDescent="0.25">
      <c r="B27" t="s">
        <v>73</v>
      </c>
      <c r="E27" s="3"/>
      <c r="G27" s="3">
        <f>'Organic Soybeans'!$I$6</f>
        <v>24.85</v>
      </c>
      <c r="H27" s="18">
        <v>22.35</v>
      </c>
      <c r="I27" s="18">
        <v>22.35</v>
      </c>
      <c r="J27" s="18">
        <v>22.35</v>
      </c>
      <c r="K27" s="18">
        <v>22.35</v>
      </c>
      <c r="L27" s="18">
        <v>22.35</v>
      </c>
      <c r="M27" s="18">
        <v>22.35</v>
      </c>
      <c r="N27" s="18">
        <v>22.35</v>
      </c>
      <c r="O27" s="18">
        <v>22.35</v>
      </c>
      <c r="P27" s="18">
        <v>22.35</v>
      </c>
    </row>
    <row r="28" spans="1:16" x14ac:dyDescent="0.25">
      <c r="B28" t="s">
        <v>146</v>
      </c>
      <c r="E28" s="3"/>
      <c r="G28" s="3">
        <f>'Organic Wheat'!$I$6</f>
        <v>6.95</v>
      </c>
      <c r="H28" s="18">
        <v>6.5</v>
      </c>
      <c r="I28" s="18">
        <v>6.5</v>
      </c>
      <c r="J28" s="18">
        <v>6.5</v>
      </c>
      <c r="K28" s="18">
        <v>6.5</v>
      </c>
      <c r="L28" s="18">
        <v>6.5</v>
      </c>
      <c r="M28" s="18">
        <v>6.5</v>
      </c>
      <c r="N28" s="18">
        <v>6.5</v>
      </c>
      <c r="O28" s="18">
        <v>6.5</v>
      </c>
      <c r="P28" s="18">
        <v>6.5</v>
      </c>
    </row>
    <row r="31" spans="1:16" x14ac:dyDescent="0.25">
      <c r="B31" s="7" t="s">
        <v>77</v>
      </c>
    </row>
    <row r="33" spans="1:16" ht="15" customHeight="1" x14ac:dyDescent="0.25">
      <c r="G33" s="4" t="s">
        <v>54</v>
      </c>
      <c r="H33" s="4" t="s">
        <v>55</v>
      </c>
      <c r="I33" s="4" t="s">
        <v>56</v>
      </c>
      <c r="J33" s="4" t="s">
        <v>57</v>
      </c>
      <c r="K33" s="4" t="s">
        <v>58</v>
      </c>
      <c r="L33" s="4" t="s">
        <v>59</v>
      </c>
      <c r="M33" s="4" t="s">
        <v>60</v>
      </c>
      <c r="N33" s="4" t="s">
        <v>61</v>
      </c>
      <c r="O33" s="4" t="s">
        <v>62</v>
      </c>
      <c r="P33" s="4" t="s">
        <v>63</v>
      </c>
    </row>
    <row r="35" spans="1:16" x14ac:dyDescent="0.25">
      <c r="B35" t="s">
        <v>0</v>
      </c>
      <c r="G35" s="3">
        <f>'Conventional Corn'!$J$8+'Conventional Corn'!$J$9+'Conventional Corn'!$J$10</f>
        <v>25</v>
      </c>
      <c r="H35" s="18">
        <f>25+24</f>
        <v>49</v>
      </c>
      <c r="I35" s="18">
        <f t="shared" ref="I35:P35" si="10">25+24</f>
        <v>49</v>
      </c>
      <c r="J35" s="18">
        <f t="shared" si="10"/>
        <v>49</v>
      </c>
      <c r="K35" s="18">
        <f t="shared" si="10"/>
        <v>49</v>
      </c>
      <c r="L35" s="18">
        <f t="shared" si="10"/>
        <v>49</v>
      </c>
      <c r="M35" s="18">
        <f t="shared" si="10"/>
        <v>49</v>
      </c>
      <c r="N35" s="18">
        <f t="shared" si="10"/>
        <v>49</v>
      </c>
      <c r="O35" s="18">
        <f t="shared" si="10"/>
        <v>49</v>
      </c>
      <c r="P35" s="18">
        <f t="shared" si="10"/>
        <v>49</v>
      </c>
    </row>
    <row r="36" spans="1:16" x14ac:dyDescent="0.25">
      <c r="B36" t="s">
        <v>66</v>
      </c>
      <c r="G36" s="3">
        <f>'Conventional Soybeans'!$J$8+'Conventional Soybeans'!$J$9+'Conventional Soybeans'!$J$10</f>
        <v>20</v>
      </c>
      <c r="H36" s="18">
        <f>20+13.1</f>
        <v>33.1</v>
      </c>
      <c r="I36" s="18">
        <f t="shared" ref="I36:P36" si="11">20+13.1</f>
        <v>33.1</v>
      </c>
      <c r="J36" s="18">
        <f t="shared" si="11"/>
        <v>33.1</v>
      </c>
      <c r="K36" s="18">
        <f t="shared" si="11"/>
        <v>33.1</v>
      </c>
      <c r="L36" s="18">
        <f t="shared" si="11"/>
        <v>33.1</v>
      </c>
      <c r="M36" s="18">
        <f t="shared" si="11"/>
        <v>33.1</v>
      </c>
      <c r="N36" s="18">
        <f t="shared" si="11"/>
        <v>33.1</v>
      </c>
      <c r="O36" s="18">
        <f t="shared" si="11"/>
        <v>33.1</v>
      </c>
      <c r="P36" s="18">
        <f t="shared" si="11"/>
        <v>33.1</v>
      </c>
    </row>
    <row r="37" spans="1:16" x14ac:dyDescent="0.25">
      <c r="B37" t="s">
        <v>140</v>
      </c>
      <c r="G37" s="3">
        <f>'Conventional Wheat'!$J$8+'Conventional Wheat'!$J$9+'Conventional Wheat'!$J$10</f>
        <v>0</v>
      </c>
      <c r="H37" s="18">
        <f>11.2</f>
        <v>11.2</v>
      </c>
      <c r="I37" s="18">
        <f t="shared" ref="I37:P37" si="12">11.2</f>
        <v>11.2</v>
      </c>
      <c r="J37" s="18">
        <f t="shared" si="12"/>
        <v>11.2</v>
      </c>
      <c r="K37" s="18">
        <f t="shared" si="12"/>
        <v>11.2</v>
      </c>
      <c r="L37" s="18">
        <f t="shared" si="12"/>
        <v>11.2</v>
      </c>
      <c r="M37" s="18">
        <f t="shared" si="12"/>
        <v>11.2</v>
      </c>
      <c r="N37" s="18">
        <f t="shared" si="12"/>
        <v>11.2</v>
      </c>
      <c r="O37" s="18">
        <f t="shared" si="12"/>
        <v>11.2</v>
      </c>
      <c r="P37" s="18">
        <f t="shared" si="12"/>
        <v>11.2</v>
      </c>
    </row>
    <row r="38" spans="1:16" x14ac:dyDescent="0.25">
      <c r="A38" s="1"/>
      <c r="B38" t="s">
        <v>144</v>
      </c>
      <c r="G38" s="3">
        <f>'Transition Soybeans'!$J$8+'Transition Soybeans'!$J$9+'Transition Soybeans'!$J$10</f>
        <v>20</v>
      </c>
      <c r="H38" s="18">
        <f>20+13.1</f>
        <v>33.1</v>
      </c>
      <c r="I38" s="18">
        <f t="shared" ref="I38:P38" si="13">20+13.1</f>
        <v>33.1</v>
      </c>
      <c r="J38" s="18">
        <f t="shared" si="13"/>
        <v>33.1</v>
      </c>
      <c r="K38" s="18">
        <f t="shared" si="13"/>
        <v>33.1</v>
      </c>
      <c r="L38" s="18">
        <f t="shared" si="13"/>
        <v>33.1</v>
      </c>
      <c r="M38" s="18">
        <f t="shared" si="13"/>
        <v>33.1</v>
      </c>
      <c r="N38" s="18">
        <f t="shared" si="13"/>
        <v>33.1</v>
      </c>
      <c r="O38" s="18">
        <f t="shared" si="13"/>
        <v>33.1</v>
      </c>
      <c r="P38" s="18">
        <f t="shared" si="13"/>
        <v>33.1</v>
      </c>
    </row>
    <row r="39" spans="1:16" x14ac:dyDescent="0.25">
      <c r="B39" t="s">
        <v>145</v>
      </c>
      <c r="G39" s="3">
        <f>'Transition Wheat'!$J$8+'Transition Wheat'!$J$9+'Transition Wheat'!$J$10</f>
        <v>0</v>
      </c>
      <c r="H39" s="18">
        <v>11.2</v>
      </c>
      <c r="I39" s="18">
        <v>11.2</v>
      </c>
      <c r="J39" s="18">
        <v>11.2</v>
      </c>
      <c r="K39" s="18">
        <v>11.2</v>
      </c>
      <c r="L39" s="18">
        <v>11.2</v>
      </c>
      <c r="M39" s="18">
        <v>11.2</v>
      </c>
      <c r="N39" s="18">
        <v>11.2</v>
      </c>
      <c r="O39" s="18">
        <v>11.2</v>
      </c>
      <c r="P39" s="18">
        <v>11.2</v>
      </c>
    </row>
    <row r="40" spans="1:16" x14ac:dyDescent="0.25">
      <c r="B40" t="s">
        <v>72</v>
      </c>
      <c r="G40" s="3">
        <f>'Organic Corn'!$J$8+'Organic Corn'!$J$9+'Organic Corn'!$J$10</f>
        <v>40</v>
      </c>
      <c r="H40" s="18">
        <f>40+24</f>
        <v>64</v>
      </c>
      <c r="I40" s="18">
        <f t="shared" ref="I40:P40" si="14">40+24</f>
        <v>64</v>
      </c>
      <c r="J40" s="18">
        <f t="shared" si="14"/>
        <v>64</v>
      </c>
      <c r="K40" s="18">
        <f t="shared" si="14"/>
        <v>64</v>
      </c>
      <c r="L40" s="18">
        <f t="shared" si="14"/>
        <v>64</v>
      </c>
      <c r="M40" s="18">
        <f t="shared" si="14"/>
        <v>64</v>
      </c>
      <c r="N40" s="18">
        <f t="shared" si="14"/>
        <v>64</v>
      </c>
      <c r="O40" s="18">
        <f t="shared" si="14"/>
        <v>64</v>
      </c>
      <c r="P40" s="18">
        <f t="shared" si="14"/>
        <v>64</v>
      </c>
    </row>
    <row r="41" spans="1:16" x14ac:dyDescent="0.25">
      <c r="B41" t="s">
        <v>73</v>
      </c>
      <c r="G41" s="3">
        <f>'Organic Soybeans'!$J$8+'Organic Soybeans'!$J$9+'Organic Soybeans'!$J$10</f>
        <v>35</v>
      </c>
      <c r="H41" s="18">
        <f>35+13.1</f>
        <v>48.1</v>
      </c>
      <c r="I41" s="18">
        <f t="shared" ref="I41:P41" si="15">35+13.1</f>
        <v>48.1</v>
      </c>
      <c r="J41" s="18">
        <f t="shared" si="15"/>
        <v>48.1</v>
      </c>
      <c r="K41" s="18">
        <f t="shared" si="15"/>
        <v>48.1</v>
      </c>
      <c r="L41" s="18">
        <f t="shared" si="15"/>
        <v>48.1</v>
      </c>
      <c r="M41" s="18">
        <f t="shared" si="15"/>
        <v>48.1</v>
      </c>
      <c r="N41" s="18">
        <f t="shared" si="15"/>
        <v>48.1</v>
      </c>
      <c r="O41" s="18">
        <f t="shared" si="15"/>
        <v>48.1</v>
      </c>
      <c r="P41" s="18">
        <f t="shared" si="15"/>
        <v>48.1</v>
      </c>
    </row>
    <row r="42" spans="1:16" x14ac:dyDescent="0.25">
      <c r="B42" t="s">
        <v>146</v>
      </c>
      <c r="G42" s="3">
        <f>'Organic Wheat'!$J$8+'Organic Wheat'!$J$9+'Organic Wheat'!$J$10</f>
        <v>0</v>
      </c>
      <c r="H42" s="18">
        <v>11.2</v>
      </c>
      <c r="I42" s="18">
        <v>11.2</v>
      </c>
      <c r="J42" s="18">
        <v>11.2</v>
      </c>
      <c r="K42" s="18">
        <v>11.2</v>
      </c>
      <c r="L42" s="18">
        <v>11.2</v>
      </c>
      <c r="M42" s="18">
        <v>11.2</v>
      </c>
      <c r="N42" s="18">
        <v>11.2</v>
      </c>
      <c r="O42" s="18">
        <v>11.2</v>
      </c>
      <c r="P42" s="18">
        <v>11.2</v>
      </c>
    </row>
    <row r="45" spans="1:16" x14ac:dyDescent="0.25">
      <c r="B45" s="7" t="s">
        <v>83</v>
      </c>
    </row>
    <row r="47" spans="1:16" x14ac:dyDescent="0.25">
      <c r="E47" s="10" t="s">
        <v>76</v>
      </c>
      <c r="G47" s="4" t="s">
        <v>54</v>
      </c>
      <c r="H47" s="4" t="s">
        <v>55</v>
      </c>
      <c r="I47" s="4" t="s">
        <v>56</v>
      </c>
      <c r="J47" s="4" t="s">
        <v>57</v>
      </c>
      <c r="K47" s="4" t="s">
        <v>58</v>
      </c>
      <c r="L47" s="4" t="s">
        <v>59</v>
      </c>
      <c r="M47" s="4" t="s">
        <v>60</v>
      </c>
      <c r="N47" s="4" t="s">
        <v>61</v>
      </c>
      <c r="O47" s="4" t="s">
        <v>62</v>
      </c>
      <c r="P47" s="4" t="s">
        <v>63</v>
      </c>
    </row>
    <row r="49" spans="1:16" x14ac:dyDescent="0.25">
      <c r="B49" t="s">
        <v>0</v>
      </c>
      <c r="E49" s="36">
        <v>0</v>
      </c>
      <c r="G49" s="3">
        <f>'Conventional Corn'!$H$106</f>
        <v>621.58519349999995</v>
      </c>
      <c r="H49" s="3">
        <f>G49*(1+$E$49)</f>
        <v>621.58519349999995</v>
      </c>
      <c r="I49" s="3">
        <f t="shared" ref="I49:N49" si="16">H49*(1+$E$49)</f>
        <v>621.58519349999995</v>
      </c>
      <c r="J49" s="3">
        <f t="shared" si="16"/>
        <v>621.58519349999995</v>
      </c>
      <c r="K49" s="3">
        <f t="shared" si="16"/>
        <v>621.58519349999995</v>
      </c>
      <c r="L49" s="3">
        <f t="shared" si="16"/>
        <v>621.58519349999995</v>
      </c>
      <c r="M49" s="3">
        <f t="shared" si="16"/>
        <v>621.58519349999995</v>
      </c>
      <c r="N49" s="3">
        <f t="shared" si="16"/>
        <v>621.58519349999995</v>
      </c>
      <c r="O49" s="3">
        <f t="shared" ref="O49:P49" si="17">N49*(1+$E$49)</f>
        <v>621.58519349999995</v>
      </c>
      <c r="P49" s="3">
        <f t="shared" si="17"/>
        <v>621.58519349999995</v>
      </c>
    </row>
    <row r="50" spans="1:16" x14ac:dyDescent="0.25">
      <c r="B50" t="s">
        <v>66</v>
      </c>
      <c r="E50" s="36">
        <v>0</v>
      </c>
      <c r="G50" s="3">
        <f>'Conventional Soybeans'!$H$106</f>
        <v>327.20808149999999</v>
      </c>
      <c r="H50" s="3">
        <f>G50*(1+$E$50)</f>
        <v>327.20808149999999</v>
      </c>
      <c r="I50" s="3">
        <f t="shared" ref="I50:P50" si="18">H50*(1+$E$50)</f>
        <v>327.20808149999999</v>
      </c>
      <c r="J50" s="3">
        <f t="shared" si="18"/>
        <v>327.20808149999999</v>
      </c>
      <c r="K50" s="3">
        <f t="shared" si="18"/>
        <v>327.20808149999999</v>
      </c>
      <c r="L50" s="3">
        <f t="shared" si="18"/>
        <v>327.20808149999999</v>
      </c>
      <c r="M50" s="3">
        <f t="shared" si="18"/>
        <v>327.20808149999999</v>
      </c>
      <c r="N50" s="3">
        <f t="shared" si="18"/>
        <v>327.20808149999999</v>
      </c>
      <c r="O50" s="3">
        <f t="shared" si="18"/>
        <v>327.20808149999999</v>
      </c>
      <c r="P50" s="3">
        <f t="shared" si="18"/>
        <v>327.20808149999999</v>
      </c>
    </row>
    <row r="51" spans="1:16" x14ac:dyDescent="0.25">
      <c r="B51" t="s">
        <v>140</v>
      </c>
      <c r="E51" s="36">
        <v>0</v>
      </c>
      <c r="G51" s="3">
        <f>'Conventional Wheat'!$H$102</f>
        <v>241.4486</v>
      </c>
      <c r="H51" s="3">
        <f>G51*(1+$E$51)</f>
        <v>241.4486</v>
      </c>
      <c r="I51" s="3">
        <f t="shared" ref="I51:P51" si="19">H51*(1+$E$51)</f>
        <v>241.4486</v>
      </c>
      <c r="J51" s="3">
        <f t="shared" si="19"/>
        <v>241.4486</v>
      </c>
      <c r="K51" s="3">
        <f t="shared" si="19"/>
        <v>241.4486</v>
      </c>
      <c r="L51" s="3">
        <f t="shared" si="19"/>
        <v>241.4486</v>
      </c>
      <c r="M51" s="3">
        <f t="shared" si="19"/>
        <v>241.4486</v>
      </c>
      <c r="N51" s="3">
        <f t="shared" si="19"/>
        <v>241.4486</v>
      </c>
      <c r="O51" s="3">
        <f t="shared" si="19"/>
        <v>241.4486</v>
      </c>
      <c r="P51" s="3">
        <f t="shared" si="19"/>
        <v>241.4486</v>
      </c>
    </row>
    <row r="52" spans="1:16" x14ac:dyDescent="0.25">
      <c r="A52" s="1"/>
      <c r="B52" t="s">
        <v>144</v>
      </c>
      <c r="E52" s="36">
        <v>0</v>
      </c>
      <c r="G52" s="3">
        <f>'Transition Soybeans'!$H$101</f>
        <v>289.705645</v>
      </c>
      <c r="H52" s="3">
        <f>G52*(1+$E$52)</f>
        <v>289.705645</v>
      </c>
      <c r="I52" s="3">
        <f t="shared" ref="I52:P52" si="20">H52*(1+$E$52)</f>
        <v>289.705645</v>
      </c>
      <c r="J52" s="3">
        <f t="shared" si="20"/>
        <v>289.705645</v>
      </c>
      <c r="K52" s="3">
        <f t="shared" si="20"/>
        <v>289.705645</v>
      </c>
      <c r="L52" s="3">
        <f t="shared" si="20"/>
        <v>289.705645</v>
      </c>
      <c r="M52" s="3">
        <f t="shared" si="20"/>
        <v>289.705645</v>
      </c>
      <c r="N52" s="3">
        <f t="shared" si="20"/>
        <v>289.705645</v>
      </c>
      <c r="O52" s="3">
        <f t="shared" si="20"/>
        <v>289.705645</v>
      </c>
      <c r="P52" s="3">
        <f t="shared" si="20"/>
        <v>289.705645</v>
      </c>
    </row>
    <row r="53" spans="1:16" x14ac:dyDescent="0.25">
      <c r="B53" t="s">
        <v>145</v>
      </c>
      <c r="E53" s="36">
        <v>0</v>
      </c>
      <c r="G53" s="3">
        <f>'Transition Wheat'!$H$96</f>
        <v>272.40564499999999</v>
      </c>
      <c r="H53" s="3">
        <f>G53*(1+$E$53)</f>
        <v>272.40564499999999</v>
      </c>
      <c r="I53" s="3">
        <f t="shared" ref="I53:J53" si="21">H53*(1+$E$53)</f>
        <v>272.40564499999999</v>
      </c>
      <c r="J53" s="3">
        <f t="shared" si="21"/>
        <v>272.40564499999999</v>
      </c>
      <c r="K53" s="3">
        <f t="shared" ref="K53:M53" si="22">J53*(1+$E$53)</f>
        <v>272.40564499999999</v>
      </c>
      <c r="L53" s="3">
        <f t="shared" si="22"/>
        <v>272.40564499999999</v>
      </c>
      <c r="M53" s="3">
        <f t="shared" si="22"/>
        <v>272.40564499999999</v>
      </c>
      <c r="N53" s="3">
        <f t="shared" ref="N53:P53" si="23">M53*(1+$E$53)</f>
        <v>272.40564499999999</v>
      </c>
      <c r="O53" s="3">
        <f t="shared" si="23"/>
        <v>272.40564499999999</v>
      </c>
      <c r="P53" s="3">
        <f t="shared" si="23"/>
        <v>272.40564499999999</v>
      </c>
    </row>
    <row r="54" spans="1:16" x14ac:dyDescent="0.25">
      <c r="B54" t="s">
        <v>72</v>
      </c>
      <c r="E54" s="36">
        <v>0</v>
      </c>
      <c r="G54" s="3">
        <f>'Organic Corn'!$H$101</f>
        <v>559.42064500000004</v>
      </c>
      <c r="H54" s="3">
        <f>G54*(1+$E$54)</f>
        <v>559.42064500000004</v>
      </c>
      <c r="I54" s="3">
        <f t="shared" ref="I54:J54" si="24">H54*(1+$E$54)</f>
        <v>559.42064500000004</v>
      </c>
      <c r="J54" s="3">
        <f t="shared" si="24"/>
        <v>559.42064500000004</v>
      </c>
      <c r="K54" s="3">
        <f t="shared" ref="K54:M54" si="25">J54*(1+$E$54)</f>
        <v>559.42064500000004</v>
      </c>
      <c r="L54" s="3">
        <f t="shared" si="25"/>
        <v>559.42064500000004</v>
      </c>
      <c r="M54" s="3">
        <f t="shared" si="25"/>
        <v>559.42064500000004</v>
      </c>
      <c r="N54" s="3">
        <f t="shared" ref="N54:P54" si="26">M54*(1+$E$54)</f>
        <v>559.42064500000004</v>
      </c>
      <c r="O54" s="3">
        <f t="shared" si="26"/>
        <v>559.42064500000004</v>
      </c>
      <c r="P54" s="3">
        <f t="shared" si="26"/>
        <v>559.42064500000004</v>
      </c>
    </row>
    <row r="55" spans="1:16" x14ac:dyDescent="0.25">
      <c r="B55" t="s">
        <v>73</v>
      </c>
      <c r="E55" s="36">
        <v>0</v>
      </c>
      <c r="G55" s="3">
        <f>'Organic Soybeans'!$H$100</f>
        <v>303.71614</v>
      </c>
      <c r="H55" s="3">
        <f>G55*(1+$E$55)</f>
        <v>303.71614</v>
      </c>
      <c r="I55" s="3">
        <f t="shared" ref="I55:P55" si="27">H55*(1+$E$55)</f>
        <v>303.71614</v>
      </c>
      <c r="J55" s="3">
        <f t="shared" si="27"/>
        <v>303.71614</v>
      </c>
      <c r="K55" s="3">
        <f t="shared" si="27"/>
        <v>303.71614</v>
      </c>
      <c r="L55" s="3">
        <f t="shared" si="27"/>
        <v>303.71614</v>
      </c>
      <c r="M55" s="3">
        <f t="shared" si="27"/>
        <v>303.71614</v>
      </c>
      <c r="N55" s="3">
        <f t="shared" si="27"/>
        <v>303.71614</v>
      </c>
      <c r="O55" s="3">
        <f t="shared" si="27"/>
        <v>303.71614</v>
      </c>
      <c r="P55" s="3">
        <f t="shared" si="27"/>
        <v>303.71614</v>
      </c>
    </row>
    <row r="56" spans="1:16" x14ac:dyDescent="0.25">
      <c r="B56" t="s">
        <v>146</v>
      </c>
      <c r="E56" s="36">
        <v>0</v>
      </c>
      <c r="G56" s="3">
        <f>'Organic Wheat'!$H$96</f>
        <v>232.35</v>
      </c>
      <c r="H56" s="3">
        <f>G56*(1+$E$56)</f>
        <v>232.35</v>
      </c>
      <c r="I56" s="3">
        <f t="shared" ref="I56:P56" si="28">H56*(1+$E$56)</f>
        <v>232.35</v>
      </c>
      <c r="J56" s="3">
        <f t="shared" si="28"/>
        <v>232.35</v>
      </c>
      <c r="K56" s="3">
        <f t="shared" si="28"/>
        <v>232.35</v>
      </c>
      <c r="L56" s="3">
        <f t="shared" si="28"/>
        <v>232.35</v>
      </c>
      <c r="M56" s="3">
        <f t="shared" si="28"/>
        <v>232.35</v>
      </c>
      <c r="N56" s="3">
        <f t="shared" si="28"/>
        <v>232.35</v>
      </c>
      <c r="O56" s="3">
        <f t="shared" si="28"/>
        <v>232.35</v>
      </c>
      <c r="P56" s="3">
        <f t="shared" si="28"/>
        <v>232.35</v>
      </c>
    </row>
    <row r="59" spans="1:16" x14ac:dyDescent="0.25">
      <c r="B59" s="7" t="s">
        <v>102</v>
      </c>
    </row>
    <row r="61" spans="1:16" x14ac:dyDescent="0.25">
      <c r="E61" s="10" t="s">
        <v>76</v>
      </c>
      <c r="G61" s="4" t="s">
        <v>54</v>
      </c>
      <c r="H61" s="4" t="s">
        <v>55</v>
      </c>
      <c r="I61" s="4" t="s">
        <v>56</v>
      </c>
      <c r="J61" s="4" t="s">
        <v>57</v>
      </c>
      <c r="K61" s="4" t="s">
        <v>58</v>
      </c>
      <c r="L61" s="4" t="s">
        <v>59</v>
      </c>
      <c r="M61" s="4" t="s">
        <v>60</v>
      </c>
      <c r="N61" s="4" t="s">
        <v>61</v>
      </c>
      <c r="O61" s="4" t="s">
        <v>62</v>
      </c>
      <c r="P61" s="4" t="s">
        <v>63</v>
      </c>
    </row>
    <row r="63" spans="1:16" x14ac:dyDescent="0.25">
      <c r="B63" t="s">
        <v>0</v>
      </c>
      <c r="E63" s="36">
        <v>0</v>
      </c>
      <c r="G63" s="3">
        <f>'Conventional Corn'!$I$106-'Conventional Corn'!$I$102</f>
        <v>148.49</v>
      </c>
      <c r="H63" s="3">
        <f t="shared" ref="H63:P63" si="29">G63*(1+$E$63)</f>
        <v>148.49</v>
      </c>
      <c r="I63" s="3">
        <f t="shared" si="29"/>
        <v>148.49</v>
      </c>
      <c r="J63" s="3">
        <f t="shared" si="29"/>
        <v>148.49</v>
      </c>
      <c r="K63" s="3">
        <f t="shared" si="29"/>
        <v>148.49</v>
      </c>
      <c r="L63" s="3">
        <f t="shared" si="29"/>
        <v>148.49</v>
      </c>
      <c r="M63" s="3">
        <f t="shared" si="29"/>
        <v>148.49</v>
      </c>
      <c r="N63" s="3">
        <f t="shared" si="29"/>
        <v>148.49</v>
      </c>
      <c r="O63" s="3">
        <f t="shared" si="29"/>
        <v>148.49</v>
      </c>
      <c r="P63" s="3">
        <f t="shared" si="29"/>
        <v>148.49</v>
      </c>
    </row>
    <row r="64" spans="1:16" x14ac:dyDescent="0.25">
      <c r="B64" t="s">
        <v>66</v>
      </c>
      <c r="E64" s="36">
        <v>0</v>
      </c>
      <c r="G64" s="3">
        <f>'Conventional Soybeans'!$I$106-'Conventional Soybeans'!$I$102</f>
        <v>124.89999999999998</v>
      </c>
      <c r="H64" s="3">
        <f>G64*(1+$E$64)</f>
        <v>124.89999999999998</v>
      </c>
      <c r="I64" s="3">
        <f t="shared" ref="I64:P64" si="30">H64*(1+$E$64)</f>
        <v>124.89999999999998</v>
      </c>
      <c r="J64" s="3">
        <f t="shared" si="30"/>
        <v>124.89999999999998</v>
      </c>
      <c r="K64" s="3">
        <f t="shared" si="30"/>
        <v>124.89999999999998</v>
      </c>
      <c r="L64" s="3">
        <f t="shared" si="30"/>
        <v>124.89999999999998</v>
      </c>
      <c r="M64" s="3">
        <f t="shared" si="30"/>
        <v>124.89999999999998</v>
      </c>
      <c r="N64" s="3">
        <f t="shared" si="30"/>
        <v>124.89999999999998</v>
      </c>
      <c r="O64" s="3">
        <f t="shared" si="30"/>
        <v>124.89999999999998</v>
      </c>
      <c r="P64" s="3">
        <f t="shared" si="30"/>
        <v>124.89999999999998</v>
      </c>
    </row>
    <row r="65" spans="1:16" x14ac:dyDescent="0.25">
      <c r="B65" t="s">
        <v>140</v>
      </c>
      <c r="E65" s="36">
        <v>0</v>
      </c>
      <c r="G65" s="3">
        <f>'Conventional Wheat'!$I$102-'Conventional Wheat'!$I$98</f>
        <v>120.47402</v>
      </c>
      <c r="H65" s="3">
        <f>G65*(1+$E$65)</f>
        <v>120.47402</v>
      </c>
      <c r="I65" s="3">
        <f t="shared" ref="I65:M65" si="31">H65*(1+$E$65)</f>
        <v>120.47402</v>
      </c>
      <c r="J65" s="3">
        <f t="shared" si="31"/>
        <v>120.47402</v>
      </c>
      <c r="K65" s="3">
        <f t="shared" si="31"/>
        <v>120.47402</v>
      </c>
      <c r="L65" s="3">
        <f t="shared" si="31"/>
        <v>120.47402</v>
      </c>
      <c r="M65" s="3">
        <f t="shared" si="31"/>
        <v>120.47402</v>
      </c>
      <c r="N65" s="3">
        <f t="shared" ref="N65:P65" si="32">M65*(1+$E$65)</f>
        <v>120.47402</v>
      </c>
      <c r="O65" s="3">
        <f t="shared" si="32"/>
        <v>120.47402</v>
      </c>
      <c r="P65" s="3">
        <f t="shared" si="32"/>
        <v>120.47402</v>
      </c>
    </row>
    <row r="66" spans="1:16" x14ac:dyDescent="0.25">
      <c r="A66" s="1"/>
      <c r="B66" t="s">
        <v>144</v>
      </c>
      <c r="E66" s="36">
        <v>0</v>
      </c>
      <c r="G66" s="3">
        <f>'Transition Soybeans'!$I$101-'Transition Soybeans'!$I$97</f>
        <v>195.53999999999996</v>
      </c>
      <c r="H66" s="3">
        <f>G66*(1+$E$66)</f>
        <v>195.53999999999996</v>
      </c>
      <c r="I66" s="3">
        <f t="shared" ref="I66:M66" si="33">H66*(1+$E$66)</f>
        <v>195.53999999999996</v>
      </c>
      <c r="J66" s="3">
        <f t="shared" si="33"/>
        <v>195.53999999999996</v>
      </c>
      <c r="K66" s="3">
        <f t="shared" si="33"/>
        <v>195.53999999999996</v>
      </c>
      <c r="L66" s="3">
        <f t="shared" si="33"/>
        <v>195.53999999999996</v>
      </c>
      <c r="M66" s="3">
        <f t="shared" si="33"/>
        <v>195.53999999999996</v>
      </c>
      <c r="N66" s="3">
        <f t="shared" ref="N66:P66" si="34">M66*(1+$E$66)</f>
        <v>195.53999999999996</v>
      </c>
      <c r="O66" s="3">
        <f t="shared" si="34"/>
        <v>195.53999999999996</v>
      </c>
      <c r="P66" s="3">
        <f t="shared" si="34"/>
        <v>195.53999999999996</v>
      </c>
    </row>
    <row r="67" spans="1:16" x14ac:dyDescent="0.25">
      <c r="B67" t="s">
        <v>145</v>
      </c>
      <c r="E67" s="36">
        <v>0</v>
      </c>
      <c r="G67" s="3">
        <f>'Transition Wheat'!$I$96-'Transition Wheat'!$I$92</f>
        <v>179.88</v>
      </c>
      <c r="H67" s="3">
        <f>G67*(1+$E$67)</f>
        <v>179.88</v>
      </c>
      <c r="I67" s="3">
        <f t="shared" ref="I67:J67" si="35">H67*(1+$E$67)</f>
        <v>179.88</v>
      </c>
      <c r="J67" s="3">
        <f t="shared" si="35"/>
        <v>179.88</v>
      </c>
      <c r="K67" s="3">
        <f t="shared" ref="K67:L67" si="36">J67*(1+$E$67)</f>
        <v>179.88</v>
      </c>
      <c r="L67" s="3">
        <f t="shared" si="36"/>
        <v>179.88</v>
      </c>
      <c r="M67" s="3">
        <f t="shared" ref="M67:P67" si="37">L67*(1+$E$67)</f>
        <v>179.88</v>
      </c>
      <c r="N67" s="3">
        <f t="shared" si="37"/>
        <v>179.88</v>
      </c>
      <c r="O67" s="3">
        <f t="shared" si="37"/>
        <v>179.88</v>
      </c>
      <c r="P67" s="3">
        <f t="shared" si="37"/>
        <v>179.88</v>
      </c>
    </row>
    <row r="68" spans="1:16" x14ac:dyDescent="0.25">
      <c r="B68" t="s">
        <v>72</v>
      </c>
      <c r="E68" s="36">
        <v>0</v>
      </c>
      <c r="G68" s="3">
        <f>'Organic Corn'!$I$101-'Organic Corn'!$I$97</f>
        <v>251.74</v>
      </c>
      <c r="H68" s="3">
        <f>G68*(1+$E$68)</f>
        <v>251.74</v>
      </c>
      <c r="I68" s="3">
        <f t="shared" ref="I68:J68" si="38">H68*(1+$E$68)</f>
        <v>251.74</v>
      </c>
      <c r="J68" s="3">
        <f t="shared" si="38"/>
        <v>251.74</v>
      </c>
      <c r="K68" s="3">
        <f t="shared" ref="K68:L68" si="39">J68*(1+$E$68)</f>
        <v>251.74</v>
      </c>
      <c r="L68" s="3">
        <f t="shared" si="39"/>
        <v>251.74</v>
      </c>
      <c r="M68" s="3">
        <f t="shared" ref="M68:P68" si="40">L68*(1+$E$68)</f>
        <v>251.74</v>
      </c>
      <c r="N68" s="3">
        <f t="shared" si="40"/>
        <v>251.74</v>
      </c>
      <c r="O68" s="3">
        <f t="shared" si="40"/>
        <v>251.74</v>
      </c>
      <c r="P68" s="3">
        <f t="shared" si="40"/>
        <v>251.74</v>
      </c>
    </row>
    <row r="69" spans="1:16" x14ac:dyDescent="0.25">
      <c r="B69" t="s">
        <v>73</v>
      </c>
      <c r="E69" s="36">
        <v>0</v>
      </c>
      <c r="G69" s="3">
        <f>'Organic Soybeans'!$I$100-'Organic Soybeans'!$I$96</f>
        <v>191.34209999999996</v>
      </c>
      <c r="H69" s="3">
        <f>G69*(1+$E$69)</f>
        <v>191.34209999999996</v>
      </c>
      <c r="I69" s="3">
        <f t="shared" ref="I69:P69" si="41">H69*(1+$E$69)</f>
        <v>191.34209999999996</v>
      </c>
      <c r="J69" s="3">
        <f t="shared" si="41"/>
        <v>191.34209999999996</v>
      </c>
      <c r="K69" s="3">
        <f t="shared" si="41"/>
        <v>191.34209999999996</v>
      </c>
      <c r="L69" s="3">
        <f t="shared" si="41"/>
        <v>191.34209999999996</v>
      </c>
      <c r="M69" s="3">
        <f t="shared" si="41"/>
        <v>191.34209999999996</v>
      </c>
      <c r="N69" s="3">
        <f t="shared" si="41"/>
        <v>191.34209999999996</v>
      </c>
      <c r="O69" s="3">
        <f t="shared" si="41"/>
        <v>191.34209999999996</v>
      </c>
      <c r="P69" s="3">
        <f t="shared" si="41"/>
        <v>191.34209999999996</v>
      </c>
    </row>
    <row r="70" spans="1:16" x14ac:dyDescent="0.25">
      <c r="B70" t="s">
        <v>146</v>
      </c>
      <c r="E70" s="36">
        <v>0</v>
      </c>
      <c r="G70" s="3">
        <f>'Organic Wheat'!$I$96-'Organic Wheat'!$I$92</f>
        <v>167.76999999999998</v>
      </c>
      <c r="H70" s="3">
        <f>G70*(1+$E$70)</f>
        <v>167.76999999999998</v>
      </c>
      <c r="I70" s="3">
        <f t="shared" ref="I70:P70" si="42">H70*(1+$E$70)</f>
        <v>167.76999999999998</v>
      </c>
      <c r="J70" s="3">
        <f t="shared" si="42"/>
        <v>167.76999999999998</v>
      </c>
      <c r="K70" s="3">
        <f t="shared" si="42"/>
        <v>167.76999999999998</v>
      </c>
      <c r="L70" s="3">
        <f t="shared" si="42"/>
        <v>167.76999999999998</v>
      </c>
      <c r="M70" s="3">
        <f t="shared" si="42"/>
        <v>167.76999999999998</v>
      </c>
      <c r="N70" s="3">
        <f t="shared" si="42"/>
        <v>167.76999999999998</v>
      </c>
      <c r="O70" s="3">
        <f t="shared" si="42"/>
        <v>167.76999999999998</v>
      </c>
      <c r="P70" s="3">
        <f t="shared" si="42"/>
        <v>167.76999999999998</v>
      </c>
    </row>
    <row r="73" spans="1:16" x14ac:dyDescent="0.25">
      <c r="B73" s="7" t="s">
        <v>103</v>
      </c>
    </row>
    <row r="75" spans="1:16" x14ac:dyDescent="0.25">
      <c r="E75" s="10" t="s">
        <v>76</v>
      </c>
      <c r="G75" s="4" t="s">
        <v>54</v>
      </c>
      <c r="H75" s="4" t="s">
        <v>55</v>
      </c>
      <c r="I75" s="4" t="s">
        <v>56</v>
      </c>
      <c r="J75" s="4" t="s">
        <v>57</v>
      </c>
      <c r="K75" s="4" t="s">
        <v>58</v>
      </c>
      <c r="L75" s="4" t="s">
        <v>59</v>
      </c>
      <c r="M75" s="4" t="s">
        <v>60</v>
      </c>
      <c r="N75" s="4" t="s">
        <v>61</v>
      </c>
      <c r="O75" s="4" t="s">
        <v>62</v>
      </c>
      <c r="P75" s="4" t="s">
        <v>63</v>
      </c>
    </row>
    <row r="77" spans="1:16" x14ac:dyDescent="0.25">
      <c r="B77" t="s">
        <v>0</v>
      </c>
      <c r="E77" s="36">
        <v>0</v>
      </c>
      <c r="G77" s="3">
        <f>'Conventional Corn'!$I$102</f>
        <v>255</v>
      </c>
      <c r="H77" s="3">
        <f>G77*(1+$E$77)</f>
        <v>255</v>
      </c>
      <c r="I77" s="3">
        <f t="shared" ref="I77:J77" si="43">H77*(1+$E$77)</f>
        <v>255</v>
      </c>
      <c r="J77" s="3">
        <f t="shared" si="43"/>
        <v>255</v>
      </c>
      <c r="K77" s="3">
        <f t="shared" ref="K77:M77" si="44">J77*(1+$E$77)</f>
        <v>255</v>
      </c>
      <c r="L77" s="3">
        <f t="shared" si="44"/>
        <v>255</v>
      </c>
      <c r="M77" s="3">
        <f t="shared" si="44"/>
        <v>255</v>
      </c>
      <c r="N77" s="3">
        <f t="shared" ref="N77:P77" si="45">M77*(1+$E$77)</f>
        <v>255</v>
      </c>
      <c r="O77" s="3">
        <f t="shared" si="45"/>
        <v>255</v>
      </c>
      <c r="P77" s="3">
        <f t="shared" si="45"/>
        <v>255</v>
      </c>
    </row>
    <row r="78" spans="1:16" x14ac:dyDescent="0.25">
      <c r="B78" t="s">
        <v>66</v>
      </c>
      <c r="E78" s="36">
        <v>0</v>
      </c>
      <c r="G78" s="3">
        <f>'Conventional Soybeans'!$I$102</f>
        <v>255</v>
      </c>
      <c r="H78" s="3">
        <f>G78*(1+$E$78)</f>
        <v>255</v>
      </c>
      <c r="I78" s="3">
        <f t="shared" ref="I78:J78" si="46">H78*(1+$E$78)</f>
        <v>255</v>
      </c>
      <c r="J78" s="3">
        <f t="shared" si="46"/>
        <v>255</v>
      </c>
      <c r="K78" s="3">
        <f t="shared" ref="K78:M78" si="47">J78*(1+$E$78)</f>
        <v>255</v>
      </c>
      <c r="L78" s="3">
        <f t="shared" si="47"/>
        <v>255</v>
      </c>
      <c r="M78" s="3">
        <f t="shared" si="47"/>
        <v>255</v>
      </c>
      <c r="N78" s="3">
        <f t="shared" ref="N78:P78" si="48">M78*(1+$E$78)</f>
        <v>255</v>
      </c>
      <c r="O78" s="3">
        <f t="shared" si="48"/>
        <v>255</v>
      </c>
      <c r="P78" s="3">
        <f t="shared" si="48"/>
        <v>255</v>
      </c>
    </row>
    <row r="79" spans="1:16" x14ac:dyDescent="0.25">
      <c r="B79" t="s">
        <v>140</v>
      </c>
      <c r="E79" s="36">
        <v>0</v>
      </c>
      <c r="G79" s="3">
        <f>'Conventional Wheat'!$I$98</f>
        <v>255</v>
      </c>
      <c r="H79" s="3">
        <f>G79*(1+$E$79)</f>
        <v>255</v>
      </c>
      <c r="I79" s="3">
        <f t="shared" ref="I79:J79" si="49">H79*(1+$E$79)</f>
        <v>255</v>
      </c>
      <c r="J79" s="3">
        <f t="shared" si="49"/>
        <v>255</v>
      </c>
      <c r="K79" s="3">
        <f t="shared" ref="K79:M79" si="50">J79*(1+$E$79)</f>
        <v>255</v>
      </c>
      <c r="L79" s="3">
        <f t="shared" si="50"/>
        <v>255</v>
      </c>
      <c r="M79" s="3">
        <f t="shared" si="50"/>
        <v>255</v>
      </c>
      <c r="N79" s="3">
        <f t="shared" ref="N79:P79" si="51">M79*(1+$E$79)</f>
        <v>255</v>
      </c>
      <c r="O79" s="3">
        <f t="shared" si="51"/>
        <v>255</v>
      </c>
      <c r="P79" s="3">
        <f t="shared" si="51"/>
        <v>255</v>
      </c>
    </row>
    <row r="80" spans="1:16" x14ac:dyDescent="0.25">
      <c r="A80" s="1"/>
      <c r="B80" t="s">
        <v>144</v>
      </c>
      <c r="E80" s="36">
        <v>0</v>
      </c>
      <c r="G80" s="3">
        <f>'Transition Soybeans'!$I$97</f>
        <v>255</v>
      </c>
      <c r="H80" s="3">
        <f>G80*(1+$E$80)</f>
        <v>255</v>
      </c>
      <c r="I80" s="3">
        <f t="shared" ref="I80:J80" si="52">H80*(1+$E$80)</f>
        <v>255</v>
      </c>
      <c r="J80" s="3">
        <f t="shared" si="52"/>
        <v>255</v>
      </c>
      <c r="K80" s="3">
        <f t="shared" ref="K80:M80" si="53">J80*(1+$E$80)</f>
        <v>255</v>
      </c>
      <c r="L80" s="3">
        <f t="shared" si="53"/>
        <v>255</v>
      </c>
      <c r="M80" s="3">
        <f t="shared" si="53"/>
        <v>255</v>
      </c>
      <c r="N80" s="3">
        <f t="shared" ref="N80:P80" si="54">M80*(1+$E$80)</f>
        <v>255</v>
      </c>
      <c r="O80" s="3">
        <f t="shared" si="54"/>
        <v>255</v>
      </c>
      <c r="P80" s="3">
        <f t="shared" si="54"/>
        <v>255</v>
      </c>
    </row>
    <row r="81" spans="2:16" x14ac:dyDescent="0.25">
      <c r="B81" t="s">
        <v>145</v>
      </c>
      <c r="E81" s="36">
        <v>0</v>
      </c>
      <c r="G81" s="3">
        <f>'Transition Wheat'!$I$92</f>
        <v>255</v>
      </c>
      <c r="H81" s="3">
        <f>G81*(1+$E$81)</f>
        <v>255</v>
      </c>
      <c r="I81" s="3">
        <f t="shared" ref="I81:K81" si="55">H81*(1+$E$81)</f>
        <v>255</v>
      </c>
      <c r="J81" s="3">
        <f t="shared" si="55"/>
        <v>255</v>
      </c>
      <c r="K81" s="3">
        <f t="shared" si="55"/>
        <v>255</v>
      </c>
      <c r="L81" s="3">
        <f t="shared" ref="L81:N81" si="56">K81*(1+$E$81)</f>
        <v>255</v>
      </c>
      <c r="M81" s="3">
        <f t="shared" si="56"/>
        <v>255</v>
      </c>
      <c r="N81" s="3">
        <f t="shared" si="56"/>
        <v>255</v>
      </c>
      <c r="O81" s="3">
        <f t="shared" ref="O81:P81" si="57">N81*(1+$E$81)</f>
        <v>255</v>
      </c>
      <c r="P81" s="3">
        <f t="shared" si="57"/>
        <v>255</v>
      </c>
    </row>
    <row r="82" spans="2:16" x14ac:dyDescent="0.25">
      <c r="B82" t="s">
        <v>72</v>
      </c>
      <c r="E82" s="36">
        <v>0</v>
      </c>
      <c r="G82" s="3">
        <f>'Organic Corn'!$I$97</f>
        <v>255</v>
      </c>
      <c r="H82" s="3">
        <f>G82*(1+$E$82)</f>
        <v>255</v>
      </c>
      <c r="I82" s="3">
        <f t="shared" ref="I82:K82" si="58">H82*(1+$E$82)</f>
        <v>255</v>
      </c>
      <c r="J82" s="3">
        <f t="shared" si="58"/>
        <v>255</v>
      </c>
      <c r="K82" s="3">
        <f t="shared" si="58"/>
        <v>255</v>
      </c>
      <c r="L82" s="3">
        <f t="shared" ref="L82:N82" si="59">K82*(1+$E$82)</f>
        <v>255</v>
      </c>
      <c r="M82" s="3">
        <f t="shared" si="59"/>
        <v>255</v>
      </c>
      <c r="N82" s="3">
        <f t="shared" si="59"/>
        <v>255</v>
      </c>
      <c r="O82" s="3">
        <f t="shared" ref="O82:P82" si="60">N82*(1+$E$82)</f>
        <v>255</v>
      </c>
      <c r="P82" s="3">
        <f t="shared" si="60"/>
        <v>255</v>
      </c>
    </row>
    <row r="83" spans="2:16" x14ac:dyDescent="0.25">
      <c r="B83" t="s">
        <v>73</v>
      </c>
      <c r="E83" s="36">
        <v>0</v>
      </c>
      <c r="G83" s="3">
        <f>'Organic Soybeans'!$I$96</f>
        <v>255</v>
      </c>
      <c r="H83" s="3">
        <f>G83*(1+$E$83)</f>
        <v>255</v>
      </c>
      <c r="I83" s="3">
        <f t="shared" ref="I83:K83" si="61">H83*(1+$E$83)</f>
        <v>255</v>
      </c>
      <c r="J83" s="3">
        <f t="shared" si="61"/>
        <v>255</v>
      </c>
      <c r="K83" s="3">
        <f t="shared" si="61"/>
        <v>255</v>
      </c>
      <c r="L83" s="3">
        <f t="shared" ref="L83:N83" si="62">K83*(1+$E$83)</f>
        <v>255</v>
      </c>
      <c r="M83" s="3">
        <f t="shared" si="62"/>
        <v>255</v>
      </c>
      <c r="N83" s="3">
        <f t="shared" si="62"/>
        <v>255</v>
      </c>
      <c r="O83" s="3">
        <f t="shared" ref="O83:P83" si="63">N83*(1+$E$83)</f>
        <v>255</v>
      </c>
      <c r="P83" s="3">
        <f t="shared" si="63"/>
        <v>255</v>
      </c>
    </row>
    <row r="84" spans="2:16" x14ac:dyDescent="0.25">
      <c r="B84" t="s">
        <v>146</v>
      </c>
      <c r="E84" s="36">
        <v>0</v>
      </c>
      <c r="G84" s="3">
        <f>'Organic Wheat'!$I$92</f>
        <v>255</v>
      </c>
      <c r="H84" s="3">
        <f>G84*(1+$E$84)</f>
        <v>255</v>
      </c>
      <c r="I84" s="3">
        <f t="shared" ref="I84:K84" si="64">H84*(1+$E$84)</f>
        <v>255</v>
      </c>
      <c r="J84" s="3">
        <f t="shared" si="64"/>
        <v>255</v>
      </c>
      <c r="K84" s="3">
        <f t="shared" si="64"/>
        <v>255</v>
      </c>
      <c r="L84" s="3">
        <f t="shared" ref="L84:N84" si="65">K84*(1+$E$84)</f>
        <v>255</v>
      </c>
      <c r="M84" s="3">
        <f t="shared" si="65"/>
        <v>255</v>
      </c>
      <c r="N84" s="3">
        <f t="shared" si="65"/>
        <v>255</v>
      </c>
      <c r="O84" s="3">
        <f t="shared" ref="O84:P84" si="66">N84*(1+$E$84)</f>
        <v>255</v>
      </c>
      <c r="P84" s="3">
        <f t="shared" si="66"/>
        <v>255</v>
      </c>
    </row>
  </sheetData>
  <sheetProtection sheet="1" objects="1" scenarios="1"/>
  <printOptions headings="1" gridLines="1"/>
  <pageMargins left="0.7" right="0.7" top="0.75" bottom="0.75" header="0.3" footer="0.3"/>
  <pageSetup scale="41" orientation="landscape" r:id="rId1"/>
  <ignoredErrors>
    <ignoredError sqref="G66 G79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45"/>
  <sheetViews>
    <sheetView zoomScale="150" zoomScaleNormal="150" workbookViewId="0"/>
  </sheetViews>
  <sheetFormatPr defaultRowHeight="15" x14ac:dyDescent="0.25"/>
  <sheetData>
    <row r="1" spans="1:17" x14ac:dyDescent="0.25">
      <c r="A1" s="7" t="s">
        <v>151</v>
      </c>
      <c r="K1" s="4"/>
    </row>
    <row r="3" spans="1:17" x14ac:dyDescent="0.25">
      <c r="F3" s="13" t="s">
        <v>54</v>
      </c>
      <c r="G3" s="13" t="s">
        <v>55</v>
      </c>
      <c r="H3" s="13" t="s">
        <v>56</v>
      </c>
      <c r="I3" s="13" t="s">
        <v>57</v>
      </c>
      <c r="J3" s="13" t="s">
        <v>58</v>
      </c>
      <c r="K3" s="13" t="s">
        <v>59</v>
      </c>
      <c r="L3" s="13" t="s">
        <v>60</v>
      </c>
      <c r="M3" s="13" t="s">
        <v>61</v>
      </c>
      <c r="N3" s="13" t="s">
        <v>62</v>
      </c>
      <c r="O3" s="13" t="s">
        <v>63</v>
      </c>
      <c r="Q3" s="13" t="s">
        <v>84</v>
      </c>
    </row>
    <row r="5" spans="1:17" x14ac:dyDescent="0.25">
      <c r="A5" s="1"/>
      <c r="B5" t="s">
        <v>0</v>
      </c>
      <c r="F5" s="14">
        <f>('Production Plans'!$F$8+'Production Plans'!$F$10+'Production Plans'!$F$12)/100</f>
        <v>0.49999999999999994</v>
      </c>
      <c r="G5" s="14">
        <f>('Production Plans'!$I$8+'Production Plans'!$I$10+'Production Plans'!$I$12)/100</f>
        <v>0.49999999999999994</v>
      </c>
      <c r="H5" s="14">
        <f>('Production Plans'!$L$8+'Production Plans'!$L$10+'Production Plans'!$L$12)/100</f>
        <v>0.49999999999999994</v>
      </c>
      <c r="I5" s="14">
        <f>('Production Plans'!$O$8+'Production Plans'!$O$10+'Production Plans'!$O$12)/100</f>
        <v>0.49999999999999994</v>
      </c>
      <c r="J5" s="14">
        <f>('Production Plans'!$R$8+'Production Plans'!$R$10+'Production Plans'!$R$12)/100</f>
        <v>0.49999999999999994</v>
      </c>
      <c r="K5" s="14">
        <f>('Production Plans'!$U$8+'Production Plans'!$U$10+'Production Plans'!$U$12)/100</f>
        <v>0.49999999999999994</v>
      </c>
      <c r="L5" s="14">
        <f>('Production Plans'!$X$8+'Production Plans'!$X$10+'Production Plans'!$X$12)/100</f>
        <v>0.49999999999999994</v>
      </c>
      <c r="M5" s="14">
        <f>('Production Plans'!$AA$8+'Production Plans'!$AA$10+'Production Plans'!$AA$12)/100</f>
        <v>0.49999999999999994</v>
      </c>
      <c r="N5" s="14">
        <f>('Production Plans'!$AD$8+'Production Plans'!$AD$10+'Production Plans'!$AD$12)/100</f>
        <v>0.49999999999999994</v>
      </c>
      <c r="O5" s="14">
        <f>('Production Plans'!$AG$8+'Production Plans'!$AG$10+'Production Plans'!$AG$12)/100</f>
        <v>0.49999999999999994</v>
      </c>
      <c r="Q5" s="15">
        <f>AVERAGE(F5:O5)</f>
        <v>0.49999999999999989</v>
      </c>
    </row>
    <row r="7" spans="1:17" x14ac:dyDescent="0.25">
      <c r="B7" t="s">
        <v>66</v>
      </c>
      <c r="F7" s="14">
        <f>('Production Plans'!$F$9+'Production Plans'!$F$11+'Production Plans'!$F$13)/100</f>
        <v>0.49999999999999994</v>
      </c>
      <c r="G7" s="14">
        <f>('Production Plans'!$I$9+'Production Plans'!$I$11+'Production Plans'!$I$13)/100</f>
        <v>0.49999999999999994</v>
      </c>
      <c r="H7" s="14">
        <f>('Production Plans'!$L$9+'Production Plans'!$L$11+'Production Plans'!$L$13)/100</f>
        <v>0.49999999999999994</v>
      </c>
      <c r="I7" s="14">
        <f>('Production Plans'!$O$9+'Production Plans'!$O$11+'Production Plans'!$O$13)/100</f>
        <v>0.49999999999999994</v>
      </c>
      <c r="J7" s="14">
        <f>('Production Plans'!$R$9+'Production Plans'!$R$11+'Production Plans'!$R$13)/100</f>
        <v>0.49999999999999994</v>
      </c>
      <c r="K7" s="14">
        <f>('Production Plans'!$U$9+'Production Plans'!$U$11+'Production Plans'!$U$13)/100</f>
        <v>0.49999999999999994</v>
      </c>
      <c r="L7" s="14">
        <f>('Production Plans'!$X$9+'Production Plans'!$X$11+'Production Plans'!$X$13)/100</f>
        <v>0.49999999999999994</v>
      </c>
      <c r="M7" s="14">
        <f>('Production Plans'!$AA$9+'Production Plans'!$AA$11+'Production Plans'!$AA$13)/100</f>
        <v>0.49999999999999994</v>
      </c>
      <c r="N7" s="14">
        <f>('Production Plans'!$AD$9+'Production Plans'!$AD$11+'Production Plans'!$AD$13)/100</f>
        <v>0.49999999999999994</v>
      </c>
      <c r="O7" s="14">
        <f>('Production Plans'!$AG$9+'Production Plans'!$AG$11+'Production Plans'!$AG$13)/100</f>
        <v>0.49999999999999994</v>
      </c>
      <c r="Q7" s="15">
        <f>AVERAGE(F7:O7)</f>
        <v>0.49999999999999989</v>
      </c>
    </row>
    <row r="8" spans="1:17" x14ac:dyDescent="0.25">
      <c r="F8" s="14"/>
      <c r="G8" s="14"/>
      <c r="H8" s="14"/>
      <c r="I8" s="14"/>
      <c r="J8" s="14"/>
      <c r="K8" s="14"/>
      <c r="L8" s="14"/>
      <c r="M8" s="14"/>
      <c r="N8" s="14"/>
      <c r="O8" s="14"/>
      <c r="Q8" s="15"/>
    </row>
    <row r="9" spans="1:17" x14ac:dyDescent="0.25">
      <c r="B9" t="s">
        <v>6</v>
      </c>
      <c r="F9" s="14">
        <f>SUM(F5, F7)</f>
        <v>0.99999999999999989</v>
      </c>
      <c r="G9" s="14">
        <f t="shared" ref="G9:O9" si="0">SUM(G5, G7)</f>
        <v>0.99999999999999989</v>
      </c>
      <c r="H9" s="14">
        <f t="shared" si="0"/>
        <v>0.99999999999999989</v>
      </c>
      <c r="I9" s="14">
        <f t="shared" si="0"/>
        <v>0.99999999999999989</v>
      </c>
      <c r="J9" s="14">
        <f t="shared" si="0"/>
        <v>0.99999999999999989</v>
      </c>
      <c r="K9" s="14">
        <f t="shared" si="0"/>
        <v>0.99999999999999989</v>
      </c>
      <c r="L9" s="14">
        <f t="shared" si="0"/>
        <v>0.99999999999999989</v>
      </c>
      <c r="M9" s="14">
        <f t="shared" si="0"/>
        <v>0.99999999999999989</v>
      </c>
      <c r="N9" s="14">
        <f t="shared" si="0"/>
        <v>0.99999999999999989</v>
      </c>
      <c r="O9" s="14">
        <f t="shared" si="0"/>
        <v>0.99999999999999989</v>
      </c>
      <c r="Q9" s="15">
        <f>AVERAGE(F9:O9)</f>
        <v>0.99999999999999978</v>
      </c>
    </row>
    <row r="12" spans="1:17" x14ac:dyDescent="0.25">
      <c r="A12" s="7" t="s">
        <v>159</v>
      </c>
      <c r="K12" s="4"/>
    </row>
    <row r="14" spans="1:17" x14ac:dyDescent="0.25">
      <c r="F14" s="13" t="s">
        <v>54</v>
      </c>
      <c r="G14" s="13" t="s">
        <v>55</v>
      </c>
      <c r="H14" s="13" t="s">
        <v>56</v>
      </c>
      <c r="I14" s="13" t="s">
        <v>57</v>
      </c>
      <c r="J14" s="13" t="s">
        <v>58</v>
      </c>
      <c r="K14" s="13" t="s">
        <v>59</v>
      </c>
      <c r="L14" s="13" t="s">
        <v>60</v>
      </c>
      <c r="M14" s="13" t="s">
        <v>61</v>
      </c>
      <c r="N14" s="13" t="s">
        <v>62</v>
      </c>
      <c r="O14" s="13" t="s">
        <v>63</v>
      </c>
      <c r="Q14" s="13" t="s">
        <v>84</v>
      </c>
    </row>
    <row r="16" spans="1:17" x14ac:dyDescent="0.25">
      <c r="A16" s="1"/>
      <c r="B16" t="s">
        <v>0</v>
      </c>
      <c r="F16" s="14">
        <f>('Production Plans'!$F$22+'Production Plans'!$F$25)/100</f>
        <v>0.33333333333333326</v>
      </c>
      <c r="G16" s="14">
        <f>('Production Plans'!$I$22+'Production Plans'!$I$25)/100</f>
        <v>0.33333333333333326</v>
      </c>
      <c r="H16" s="14">
        <f>('Production Plans'!$L$22+'Production Plans'!$L$25)/100</f>
        <v>0.33333333333333326</v>
      </c>
      <c r="I16" s="14">
        <f>('Production Plans'!$O$22+'Production Plans'!$O$25)/100</f>
        <v>0.33333333333333326</v>
      </c>
      <c r="J16" s="14">
        <f>('Production Plans'!$R$22+'Production Plans'!$R$25)/100</f>
        <v>0.33333333333333326</v>
      </c>
      <c r="K16" s="14">
        <f>('Production Plans'!$U$22+'Production Plans'!$U$25)/100</f>
        <v>0.33333333333333326</v>
      </c>
      <c r="L16" s="14">
        <f>('Production Plans'!$X$22+'Production Plans'!$X$25)/100</f>
        <v>0.33333333333333326</v>
      </c>
      <c r="M16" s="14">
        <f>('Production Plans'!$AA$22+'Production Plans'!$AA$25)/100</f>
        <v>0.33333333333333326</v>
      </c>
      <c r="N16" s="14">
        <f>('Production Plans'!$AD$22+'Production Plans'!$AD$25)/100</f>
        <v>0.33333333333333326</v>
      </c>
      <c r="O16" s="14">
        <f>('Production Plans'!$AG$22+'Production Plans'!$AG$25)/100</f>
        <v>0.33333333333333326</v>
      </c>
      <c r="Q16" s="15">
        <f>AVERAGE(F16:O16)</f>
        <v>0.3333333333333332</v>
      </c>
    </row>
    <row r="18" spans="1:17" x14ac:dyDescent="0.25">
      <c r="B18" t="s">
        <v>66</v>
      </c>
      <c r="F18" s="14">
        <f>('Production Plans'!$F$23+'Production Plans'!$F$26)/100</f>
        <v>0.33333333333333326</v>
      </c>
      <c r="G18" s="14">
        <f>('Production Plans'!$I$23+'Production Plans'!$I$26)/100</f>
        <v>0.33333333333333326</v>
      </c>
      <c r="H18" s="14">
        <f>('Production Plans'!$L$23+'Production Plans'!$L$26)/100</f>
        <v>0.33333333333333326</v>
      </c>
      <c r="I18" s="14">
        <f>('Production Plans'!$O$23+'Production Plans'!$O$26)/100</f>
        <v>0.33333333333333326</v>
      </c>
      <c r="J18" s="14">
        <f>('Production Plans'!$R$23+'Production Plans'!$R$26)/100</f>
        <v>0.33333333333333326</v>
      </c>
      <c r="K18" s="14">
        <f>('Production Plans'!$U$23+'Production Plans'!$U$26)/100</f>
        <v>0.33333333333333326</v>
      </c>
      <c r="L18" s="14">
        <f>('Production Plans'!$X$23+'Production Plans'!$X$26)/100</f>
        <v>0.33333333333333326</v>
      </c>
      <c r="M18" s="14">
        <f>('Production Plans'!$AA$23+'Production Plans'!$AA$26)/100</f>
        <v>0.33333333333333326</v>
      </c>
      <c r="N18" s="14">
        <f>('Production Plans'!$AD$23+'Production Plans'!$AD$26)/100</f>
        <v>0.33333333333333326</v>
      </c>
      <c r="O18" s="14">
        <f>('Production Plans'!$AG$23+'Production Plans'!$AG$26)/100</f>
        <v>0.33333333333333326</v>
      </c>
      <c r="Q18" s="15">
        <f>AVERAGE(F18:O18)</f>
        <v>0.3333333333333332</v>
      </c>
    </row>
    <row r="19" spans="1:17" x14ac:dyDescent="0.25">
      <c r="F19" s="14"/>
      <c r="G19" s="14"/>
      <c r="H19" s="14"/>
      <c r="I19" s="14"/>
      <c r="J19" s="14"/>
      <c r="K19" s="14"/>
      <c r="L19" s="14"/>
      <c r="M19" s="14"/>
      <c r="N19" s="14"/>
      <c r="O19" s="14"/>
      <c r="Q19" s="15"/>
    </row>
    <row r="20" spans="1:17" x14ac:dyDescent="0.25">
      <c r="B20" t="s">
        <v>140</v>
      </c>
      <c r="F20" s="14">
        <f>('Production Plans'!$F$21+'Production Plans'!$F$24)/100</f>
        <v>0.33333333333333326</v>
      </c>
      <c r="G20" s="14">
        <f>('Production Plans'!$I$21+'Production Plans'!$I$24)/100</f>
        <v>0.33333333333333326</v>
      </c>
      <c r="H20" s="14">
        <f>('Production Plans'!$L$21+'Production Plans'!$L$24)/100</f>
        <v>0.33333333333333326</v>
      </c>
      <c r="I20" s="14">
        <f>('Production Plans'!$O$21+'Production Plans'!$O$24)/100</f>
        <v>0.33333333333333326</v>
      </c>
      <c r="J20" s="14">
        <f>('Production Plans'!$R$21+'Production Plans'!$R$24)/100</f>
        <v>0.33333333333333326</v>
      </c>
      <c r="K20" s="14">
        <f>('Production Plans'!$U$21+'Production Plans'!$U$24)/100</f>
        <v>0.33333333333333326</v>
      </c>
      <c r="L20" s="14">
        <f>('Production Plans'!$X$21+'Production Plans'!$X$24)/100</f>
        <v>0.33333333333333326</v>
      </c>
      <c r="M20" s="14">
        <f>('Production Plans'!$AA$21+'Production Plans'!$AA$24)/100</f>
        <v>0.33333333333333326</v>
      </c>
      <c r="N20" s="14">
        <f>('Production Plans'!$AD$21+'Production Plans'!$AD$24)/100</f>
        <v>0.33333333333333326</v>
      </c>
      <c r="O20" s="14">
        <f>('Production Plans'!$AG$21+'Production Plans'!$AG$24)/100</f>
        <v>0.33333333333333326</v>
      </c>
      <c r="Q20" s="15">
        <f>AVERAGE(F20:O20)</f>
        <v>0.3333333333333332</v>
      </c>
    </row>
    <row r="21" spans="1:17" x14ac:dyDescent="0.25">
      <c r="F21" s="14"/>
      <c r="G21" s="14"/>
      <c r="H21" s="14"/>
      <c r="I21" s="14"/>
      <c r="J21" s="14"/>
      <c r="K21" s="14"/>
      <c r="L21" s="14"/>
      <c r="M21" s="14"/>
      <c r="N21" s="14"/>
      <c r="O21" s="14"/>
      <c r="Q21" s="15"/>
    </row>
    <row r="22" spans="1:17" x14ac:dyDescent="0.25">
      <c r="B22" t="s">
        <v>6</v>
      </c>
      <c r="F22" s="14">
        <f>SUM(F16,F18,F20)</f>
        <v>0.99999999999999978</v>
      </c>
      <c r="G22" s="14">
        <f t="shared" ref="G22:O22" si="1">SUM(G16,G18,G20)</f>
        <v>0.99999999999999978</v>
      </c>
      <c r="H22" s="14">
        <f t="shared" si="1"/>
        <v>0.99999999999999978</v>
      </c>
      <c r="I22" s="14">
        <f t="shared" si="1"/>
        <v>0.99999999999999978</v>
      </c>
      <c r="J22" s="14">
        <f t="shared" si="1"/>
        <v>0.99999999999999978</v>
      </c>
      <c r="K22" s="14">
        <f t="shared" si="1"/>
        <v>0.99999999999999978</v>
      </c>
      <c r="L22" s="14">
        <f t="shared" si="1"/>
        <v>0.99999999999999978</v>
      </c>
      <c r="M22" s="14">
        <f t="shared" si="1"/>
        <v>0.99999999999999978</v>
      </c>
      <c r="N22" s="14">
        <f t="shared" si="1"/>
        <v>0.99999999999999978</v>
      </c>
      <c r="O22" s="14">
        <f t="shared" si="1"/>
        <v>0.99999999999999978</v>
      </c>
      <c r="Q22" s="15">
        <f>AVERAGE(F22:O22)</f>
        <v>0.99999999999999978</v>
      </c>
    </row>
    <row r="25" spans="1:17" x14ac:dyDescent="0.25">
      <c r="A25" s="7" t="s">
        <v>158</v>
      </c>
    </row>
    <row r="26" spans="1:17" x14ac:dyDescent="0.25">
      <c r="F26" s="4"/>
      <c r="H26" s="4"/>
      <c r="I26" s="4"/>
      <c r="J26" s="4"/>
      <c r="K26" s="4"/>
      <c r="L26" s="4"/>
      <c r="M26" s="4"/>
      <c r="N26" s="4"/>
      <c r="O26" s="4"/>
    </row>
    <row r="27" spans="1:17" x14ac:dyDescent="0.25">
      <c r="F27" s="13" t="s">
        <v>54</v>
      </c>
      <c r="G27" s="13" t="s">
        <v>55</v>
      </c>
      <c r="H27" s="13" t="s">
        <v>56</v>
      </c>
      <c r="I27" s="13" t="s">
        <v>57</v>
      </c>
      <c r="J27" s="13" t="s">
        <v>58</v>
      </c>
      <c r="K27" s="13" t="s">
        <v>59</v>
      </c>
      <c r="L27" s="13" t="s">
        <v>60</v>
      </c>
      <c r="M27" s="13" t="s">
        <v>61</v>
      </c>
      <c r="N27" s="13" t="s">
        <v>62</v>
      </c>
      <c r="O27" s="13" t="s">
        <v>63</v>
      </c>
      <c r="Q27" s="13" t="s">
        <v>84</v>
      </c>
    </row>
    <row r="29" spans="1:17" x14ac:dyDescent="0.25">
      <c r="B29" t="s">
        <v>0</v>
      </c>
      <c r="F29" s="14">
        <f>('Production Plans'!$F$34+'Production Plans'!$F$37)/100</f>
        <v>0.33333333333333326</v>
      </c>
      <c r="G29" s="14">
        <f>('Production Plans'!$I$36+'Production Plans'!$I$39)/100</f>
        <v>0.33333333333333326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Q29" s="15">
        <f>AVERAGE(F29:O29)</f>
        <v>6.6666666666666652E-2</v>
      </c>
    </row>
    <row r="31" spans="1:17" x14ac:dyDescent="0.25">
      <c r="B31" t="s">
        <v>66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Q31" s="15">
        <f>AVERAGE(F31:O31)</f>
        <v>0</v>
      </c>
    </row>
    <row r="33" spans="2:17" x14ac:dyDescent="0.25">
      <c r="B33" t="s">
        <v>140</v>
      </c>
      <c r="F33" s="14">
        <f>('Production Plans'!$F$36+'Production Plans'!$F$39)/100</f>
        <v>0.33333333333333326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Q33" s="15">
        <f>AVERAGE(F33:O33)</f>
        <v>3.3333333333333326E-2</v>
      </c>
    </row>
    <row r="35" spans="2:17" x14ac:dyDescent="0.25">
      <c r="B35" t="s">
        <v>144</v>
      </c>
      <c r="F35" s="14">
        <f>('Production Plans'!$F$35+'Production Plans'!$F$38)/100</f>
        <v>0.33333333333333326</v>
      </c>
      <c r="G35" s="14">
        <f>('Production Plans'!$I$34+'Production Plans'!$I$37)/100</f>
        <v>0.33333333333333326</v>
      </c>
      <c r="H35" s="14">
        <f>('Production Plans'!$L$36+'Production Plans'!$L$39)/100</f>
        <v>0.33333333333333326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Q35" s="15">
        <f>AVERAGE(F35:O35)</f>
        <v>9.9999999999999978E-2</v>
      </c>
    </row>
    <row r="37" spans="2:17" x14ac:dyDescent="0.25">
      <c r="B37" t="s">
        <v>145</v>
      </c>
      <c r="F37" s="14">
        <v>0</v>
      </c>
      <c r="G37" s="14">
        <f>('Production Plans'!$I$35+'Production Plans'!$I$38)/100</f>
        <v>0.33333333333333326</v>
      </c>
      <c r="H37" s="14">
        <f>('Production Plans'!$L$34+'Production Plans'!$L$37)/100</f>
        <v>0.33333333333333326</v>
      </c>
      <c r="I37" s="14">
        <f>('Production Plans'!$O$36+'Production Plans'!$O$39)/100</f>
        <v>0.33333333333333326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Q37" s="15">
        <f>AVERAGE(F37:O37)</f>
        <v>9.9999999999999978E-2</v>
      </c>
    </row>
    <row r="39" spans="2:17" x14ac:dyDescent="0.25">
      <c r="B39" t="s">
        <v>72</v>
      </c>
      <c r="F39" s="14">
        <v>0</v>
      </c>
      <c r="G39" s="14">
        <v>0</v>
      </c>
      <c r="H39" s="14">
        <f>('Production Plans'!$L$35+'Production Plans'!$L$38)/100</f>
        <v>0.33333333333333326</v>
      </c>
      <c r="I39" s="14">
        <f>('Production Plans'!$O$34+'Production Plans'!$O$37)/100</f>
        <v>0.33333333333333326</v>
      </c>
      <c r="J39" s="14">
        <f>('Production Plans'!$R$36+'Production Plans'!$R$39)/100</f>
        <v>0.33333333333333326</v>
      </c>
      <c r="K39" s="14">
        <f>('Production Plans'!$U$35+'Production Plans'!$U$38)/100</f>
        <v>0.33333333333333326</v>
      </c>
      <c r="L39" s="14">
        <f>('Production Plans'!$X$34+'Production Plans'!$X$37)/100</f>
        <v>0.33333333333333326</v>
      </c>
      <c r="M39" s="14">
        <f>('Production Plans'!$AA$36+'Production Plans'!$AA$39)/100</f>
        <v>0.33333333333333326</v>
      </c>
      <c r="N39" s="14">
        <f>('Production Plans'!$AD$35+'Production Plans'!$AD$38)/100</f>
        <v>0.33333333333333326</v>
      </c>
      <c r="O39" s="14">
        <f>('Production Plans'!$AG$34+'Production Plans'!$AG$37)/100</f>
        <v>0.33333333333333326</v>
      </c>
      <c r="Q39" s="15">
        <f>AVERAGE(F39:O39)</f>
        <v>0.26666666666666661</v>
      </c>
    </row>
    <row r="41" spans="2:17" x14ac:dyDescent="0.25">
      <c r="B41" t="s">
        <v>73</v>
      </c>
      <c r="F41" s="14">
        <v>0</v>
      </c>
      <c r="G41" s="14">
        <v>0</v>
      </c>
      <c r="H41" s="14">
        <v>0</v>
      </c>
      <c r="I41" s="14">
        <f>('Production Plans'!$O$35+'Production Plans'!$O$38)/100</f>
        <v>0.33333333333333326</v>
      </c>
      <c r="J41" s="14">
        <f>('Production Plans'!$R$34+'Production Plans'!$R$37)/100</f>
        <v>0.33333333333333326</v>
      </c>
      <c r="K41" s="14">
        <f>('Production Plans'!$U$36+'Production Plans'!$U$39)/100</f>
        <v>0.33333333333333326</v>
      </c>
      <c r="L41" s="14">
        <f>('Production Plans'!$X$35+'Production Plans'!$X$38)/100</f>
        <v>0.33333333333333326</v>
      </c>
      <c r="M41" s="14">
        <f>('Production Plans'!$AA$34+'Production Plans'!$AA$37)/100</f>
        <v>0.33333333333333326</v>
      </c>
      <c r="N41" s="14">
        <f>('Production Plans'!$AD$36+'Production Plans'!$AD$39)/100</f>
        <v>0.33333333333333326</v>
      </c>
      <c r="O41" s="14">
        <f>('Production Plans'!$AG$35+'Production Plans'!$AG$38)/100</f>
        <v>0.33333333333333326</v>
      </c>
      <c r="Q41" s="15">
        <f>AVERAGE(F41:O41)</f>
        <v>0.23333333333333331</v>
      </c>
    </row>
    <row r="43" spans="2:17" x14ac:dyDescent="0.25">
      <c r="B43" t="s">
        <v>146</v>
      </c>
      <c r="F43" s="14">
        <v>0</v>
      </c>
      <c r="G43" s="14">
        <v>0</v>
      </c>
      <c r="H43" s="14">
        <v>0</v>
      </c>
      <c r="I43" s="14">
        <v>0</v>
      </c>
      <c r="J43" s="14">
        <f>('Production Plans'!$R$35+'Production Plans'!$R$38)/100</f>
        <v>0.33333333333333326</v>
      </c>
      <c r="K43" s="14">
        <f>('Production Plans'!$U$34+'Production Plans'!$U$37)/100</f>
        <v>0.33333333333333326</v>
      </c>
      <c r="L43" s="14">
        <f>('Production Plans'!$X$36+'Production Plans'!$X$39)/100</f>
        <v>0.33333333333333326</v>
      </c>
      <c r="M43" s="14">
        <f>('Production Plans'!$AA$35+'Production Plans'!$AA$38)/100</f>
        <v>0.33333333333333326</v>
      </c>
      <c r="N43" s="14">
        <f>('Production Plans'!$AD$34+'Production Plans'!$AD$37)/100</f>
        <v>0.33333333333333326</v>
      </c>
      <c r="O43" s="14">
        <f>('Production Plans'!$AG$36+'Production Plans'!$AG$39)/100</f>
        <v>0.33333333333333326</v>
      </c>
      <c r="Q43" s="15">
        <f>AVERAGE(F43:O43)</f>
        <v>0.19999999999999996</v>
      </c>
    </row>
    <row r="45" spans="2:17" x14ac:dyDescent="0.25">
      <c r="B45" t="s">
        <v>6</v>
      </c>
      <c r="F45" s="15">
        <f>SUM(F29, F31, F33, F35, F37, F39, F41, F43)</f>
        <v>0.99999999999999978</v>
      </c>
      <c r="G45" s="15">
        <f t="shared" ref="G45:J45" si="2">SUM(G29, G31, G33, G35, G37, G39, G41, G43)</f>
        <v>0.99999999999999978</v>
      </c>
      <c r="H45" s="15">
        <f t="shared" si="2"/>
        <v>0.99999999999999978</v>
      </c>
      <c r="I45" s="15">
        <f t="shared" si="2"/>
        <v>0.99999999999999978</v>
      </c>
      <c r="J45" s="15">
        <f t="shared" si="2"/>
        <v>0.99999999999999978</v>
      </c>
      <c r="K45" s="15">
        <f t="shared" ref="K45:O45" si="3">SUM(K29, K31, K37, K39, K41, K43)</f>
        <v>0.99999999999999978</v>
      </c>
      <c r="L45" s="15">
        <f t="shared" si="3"/>
        <v>0.99999999999999978</v>
      </c>
      <c r="M45" s="15">
        <f t="shared" si="3"/>
        <v>0.99999999999999978</v>
      </c>
      <c r="N45" s="15">
        <f t="shared" si="3"/>
        <v>0.99999999999999978</v>
      </c>
      <c r="O45" s="15">
        <f t="shared" si="3"/>
        <v>0.99999999999999978</v>
      </c>
      <c r="Q45" s="15">
        <f>AVERAGE(F45:O45)</f>
        <v>0.99999999999999978</v>
      </c>
    </row>
  </sheetData>
  <sheetProtection sheet="1" objects="1" scenarios="1"/>
  <printOptions headings="1" gridLines="1"/>
  <pageMargins left="0.7" right="0.7" top="0.75" bottom="0.75" header="0.3" footer="0.3"/>
  <pageSetup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27"/>
  <sheetViews>
    <sheetView zoomScale="150" zoomScaleNormal="150" workbookViewId="0"/>
  </sheetViews>
  <sheetFormatPr defaultRowHeight="15" x14ac:dyDescent="0.25"/>
  <sheetData>
    <row r="1" spans="1:8" x14ac:dyDescent="0.25">
      <c r="F1" s="13" t="s">
        <v>11</v>
      </c>
      <c r="G1" s="13" t="s">
        <v>12</v>
      </c>
      <c r="H1" s="13" t="s">
        <v>6</v>
      </c>
    </row>
    <row r="2" spans="1:8" x14ac:dyDescent="0.25">
      <c r="A2" s="1" t="s">
        <v>177</v>
      </c>
      <c r="F2" s="13" t="s">
        <v>197</v>
      </c>
      <c r="G2" s="13" t="s">
        <v>197</v>
      </c>
      <c r="H2" s="13" t="s">
        <v>197</v>
      </c>
    </row>
    <row r="4" spans="1:8" x14ac:dyDescent="0.25">
      <c r="A4" t="s">
        <v>178</v>
      </c>
      <c r="F4" s="3">
        <v>2.7126535626535624</v>
      </c>
      <c r="G4" s="3">
        <v>11.324373464373464</v>
      </c>
      <c r="H4" s="3">
        <v>14.037027027027026</v>
      </c>
    </row>
    <row r="5" spans="1:8" x14ac:dyDescent="0.25">
      <c r="A5" t="s">
        <v>179</v>
      </c>
      <c r="F5" s="3">
        <v>5.1059831151352029</v>
      </c>
      <c r="G5" s="3">
        <v>17.803107793955711</v>
      </c>
      <c r="H5" s="3">
        <v>22.909090909090914</v>
      </c>
    </row>
    <row r="6" spans="1:8" x14ac:dyDescent="0.25">
      <c r="A6" t="s">
        <v>180</v>
      </c>
      <c r="F6" s="3">
        <v>9.3076540755467185</v>
      </c>
      <c r="G6" s="3">
        <v>33.080318091451289</v>
      </c>
      <c r="H6" s="3">
        <v>42.387972166998011</v>
      </c>
    </row>
    <row r="7" spans="1:8" x14ac:dyDescent="0.25">
      <c r="A7" t="s">
        <v>181</v>
      </c>
      <c r="F7" s="3">
        <v>12.08233467867122</v>
      </c>
      <c r="G7" s="3">
        <v>27.653042533374727</v>
      </c>
      <c r="H7" s="3">
        <v>39.735377212045947</v>
      </c>
    </row>
    <row r="8" spans="1:8" x14ac:dyDescent="0.25">
      <c r="A8" t="s">
        <v>182</v>
      </c>
      <c r="F8" s="3">
        <v>11.581910475311489</v>
      </c>
      <c r="G8" s="3">
        <v>28.976465159206274</v>
      </c>
      <c r="H8" s="3">
        <v>40.558375634517759</v>
      </c>
    </row>
    <row r="9" spans="1:8" x14ac:dyDescent="0.25">
      <c r="A9" t="s">
        <v>183</v>
      </c>
      <c r="F9" s="3">
        <v>5.7034404536862002</v>
      </c>
      <c r="G9" s="3">
        <v>13.376710775047261</v>
      </c>
      <c r="H9" s="3">
        <v>19.080151228733463</v>
      </c>
    </row>
    <row r="10" spans="1:8" x14ac:dyDescent="0.25">
      <c r="A10" t="s">
        <v>184</v>
      </c>
      <c r="F10" s="3">
        <v>4.606881275841701</v>
      </c>
      <c r="G10" s="3">
        <v>12.108860011813347</v>
      </c>
      <c r="H10" s="3">
        <v>16.71574128765505</v>
      </c>
    </row>
    <row r="11" spans="1:8" x14ac:dyDescent="0.25">
      <c r="A11" t="s">
        <v>32</v>
      </c>
      <c r="F11" s="3">
        <v>4.1497716894977161</v>
      </c>
      <c r="G11" s="3">
        <v>13.121461187214612</v>
      </c>
      <c r="H11" s="3">
        <v>17.271232876712329</v>
      </c>
    </row>
    <row r="12" spans="1:8" x14ac:dyDescent="0.25">
      <c r="A12" t="s">
        <v>185</v>
      </c>
      <c r="F12" s="3">
        <v>1.36275720164609</v>
      </c>
      <c r="G12" s="3">
        <v>6.8594650205761312</v>
      </c>
      <c r="H12" s="3">
        <v>8.2222222222222214</v>
      </c>
    </row>
    <row r="13" spans="1:8" x14ac:dyDescent="0.25">
      <c r="A13" t="s">
        <v>129</v>
      </c>
      <c r="F13" s="3">
        <v>1.8020202020202021</v>
      </c>
      <c r="G13" s="3">
        <v>9.737373737373737</v>
      </c>
      <c r="H13" s="3">
        <v>11.539393939393939</v>
      </c>
    </row>
    <row r="14" spans="1:8" x14ac:dyDescent="0.25">
      <c r="A14" t="s">
        <v>186</v>
      </c>
      <c r="F14" s="3">
        <v>2.9885301614273572</v>
      </c>
      <c r="G14" s="3">
        <v>14.370560747663554</v>
      </c>
      <c r="H14" s="3">
        <v>17.359090909090909</v>
      </c>
    </row>
    <row r="15" spans="1:8" x14ac:dyDescent="0.25">
      <c r="A15" t="s">
        <v>187</v>
      </c>
      <c r="F15" s="3">
        <v>1.0473002159827212</v>
      </c>
      <c r="G15" s="3">
        <v>2.9622030237580996</v>
      </c>
      <c r="H15" s="3">
        <v>4.0095032397408206</v>
      </c>
    </row>
    <row r="16" spans="1:8" x14ac:dyDescent="0.25">
      <c r="A16" t="s">
        <v>188</v>
      </c>
      <c r="F16" s="3">
        <v>4.174316153181687</v>
      </c>
      <c r="G16" s="3">
        <v>10.16680103656781</v>
      </c>
      <c r="H16" s="3">
        <v>14.341117189749497</v>
      </c>
    </row>
    <row r="17" spans="1:8" x14ac:dyDescent="0.25">
      <c r="A17" t="s">
        <v>189</v>
      </c>
      <c r="F17" s="3">
        <v>9.8061349693251554</v>
      </c>
      <c r="G17" s="3">
        <v>16.198282208588957</v>
      </c>
      <c r="H17" s="3">
        <v>26.004417177914114</v>
      </c>
    </row>
    <row r="18" spans="1:8" x14ac:dyDescent="0.25">
      <c r="A18" t="s">
        <v>216</v>
      </c>
      <c r="F18" s="3">
        <v>2.0544360902255647</v>
      </c>
      <c r="G18" s="3">
        <v>5.8357894736842111</v>
      </c>
      <c r="H18" s="3">
        <v>7.8902255639097758</v>
      </c>
    </row>
    <row r="19" spans="1:8" x14ac:dyDescent="0.25">
      <c r="A19" t="s">
        <v>190</v>
      </c>
      <c r="F19" s="3">
        <v>0.96366005005535404</v>
      </c>
      <c r="G19" s="3">
        <v>9.3829970104633791</v>
      </c>
      <c r="H19" s="3">
        <v>10.346657060518734</v>
      </c>
    </row>
    <row r="20" spans="1:8" x14ac:dyDescent="0.25">
      <c r="A20" t="s">
        <v>191</v>
      </c>
      <c r="F20" s="3">
        <v>2.4896860986547087</v>
      </c>
      <c r="G20" s="3">
        <v>12.668871449925264</v>
      </c>
      <c r="H20" s="3">
        <v>15.158557548579973</v>
      </c>
    </row>
    <row r="21" spans="1:8" x14ac:dyDescent="0.25">
      <c r="A21" t="s">
        <v>192</v>
      </c>
      <c r="F21" s="3">
        <v>1.7656286721504115</v>
      </c>
      <c r="G21" s="3">
        <v>6.6849588719153932</v>
      </c>
      <c r="H21" s="3">
        <v>8.4505875440658045</v>
      </c>
    </row>
    <row r="22" spans="1:8" x14ac:dyDescent="0.25">
      <c r="A22" t="s">
        <v>193</v>
      </c>
      <c r="F22" s="3">
        <v>2.0835451977401132</v>
      </c>
      <c r="G22" s="3">
        <v>4.7541666666666664</v>
      </c>
      <c r="H22" s="3">
        <v>6.8377118644067796</v>
      </c>
    </row>
    <row r="23" spans="1:8" x14ac:dyDescent="0.25">
      <c r="A23" t="s">
        <v>194</v>
      </c>
      <c r="F23" s="3">
        <v>0.98576687116564443</v>
      </c>
      <c r="G23" s="3">
        <v>4.1999999999999993</v>
      </c>
      <c r="H23" s="3">
        <v>5.1857668711656437</v>
      </c>
    </row>
    <row r="24" spans="1:8" x14ac:dyDescent="0.25">
      <c r="A24" t="s">
        <v>195</v>
      </c>
      <c r="F24" s="3">
        <v>2.484953987730063</v>
      </c>
      <c r="G24" s="3">
        <v>10.587499999999999</v>
      </c>
      <c r="H24" s="3">
        <v>13.072453987730061</v>
      </c>
    </row>
    <row r="25" spans="1:8" x14ac:dyDescent="0.25">
      <c r="A25" t="s">
        <v>111</v>
      </c>
      <c r="F25" s="3">
        <v>1.5881316098707403</v>
      </c>
      <c r="G25" s="3">
        <v>6.012925969447708</v>
      </c>
      <c r="H25" s="3">
        <v>7.6010575793184483</v>
      </c>
    </row>
    <row r="26" spans="1:8" x14ac:dyDescent="0.25">
      <c r="A26" t="s">
        <v>196</v>
      </c>
      <c r="F26" s="3">
        <v>1.5725995316159254</v>
      </c>
      <c r="G26" s="3">
        <v>6.0316159250585484</v>
      </c>
      <c r="H26" s="3">
        <v>7.6042154566744742</v>
      </c>
    </row>
    <row r="27" spans="1:8" x14ac:dyDescent="0.25">
      <c r="A27" t="s">
        <v>170</v>
      </c>
      <c r="F27" s="3">
        <v>3.8595460614152195</v>
      </c>
      <c r="G27" s="3">
        <v>14.156074766355141</v>
      </c>
      <c r="H27" s="3">
        <v>18.015620827770363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9"/>
  <sheetViews>
    <sheetView zoomScale="150" zoomScaleNormal="150" workbookViewId="0"/>
  </sheetViews>
  <sheetFormatPr defaultRowHeight="15" x14ac:dyDescent="0.25"/>
  <cols>
    <col min="5" max="5" width="5.7109375" customWidth="1"/>
    <col min="6" max="13" width="10.7109375" customWidth="1"/>
  </cols>
  <sheetData>
    <row r="1" spans="1:8" x14ac:dyDescent="0.25">
      <c r="A1" s="1" t="s">
        <v>101</v>
      </c>
    </row>
    <row r="3" spans="1:8" x14ac:dyDescent="0.25">
      <c r="B3" s="11" t="s">
        <v>134</v>
      </c>
    </row>
    <row r="5" spans="1:8" x14ac:dyDescent="0.25">
      <c r="F5" s="12" t="s">
        <v>96</v>
      </c>
      <c r="G5" s="12" t="s">
        <v>97</v>
      </c>
      <c r="H5" s="12" t="s">
        <v>98</v>
      </c>
    </row>
    <row r="7" spans="1:8" x14ac:dyDescent="0.25">
      <c r="B7" t="s">
        <v>78</v>
      </c>
      <c r="F7" s="3">
        <f>'Annual Returns'!$Q$7</f>
        <v>923.92000000000007</v>
      </c>
      <c r="G7" s="3">
        <f>'Annual Returns'!$Q$17</f>
        <v>686.08999999999992</v>
      </c>
      <c r="H7" s="3">
        <f>'Annual Returns'!$Q$27</f>
        <v>805.00500000000011</v>
      </c>
    </row>
    <row r="8" spans="1:8" x14ac:dyDescent="0.25">
      <c r="B8" t="s">
        <v>80</v>
      </c>
      <c r="F8" s="3">
        <f>'Annual Returns'!$Q$8</f>
        <v>621.58519349999995</v>
      </c>
      <c r="G8" s="3">
        <f>'Annual Returns'!$Q$18</f>
        <v>327.20808149999999</v>
      </c>
      <c r="H8" s="3">
        <f>'Annual Returns'!$Q$28</f>
        <v>474.3966375</v>
      </c>
    </row>
    <row r="9" spans="1:8" x14ac:dyDescent="0.25">
      <c r="B9" t="s">
        <v>49</v>
      </c>
      <c r="F9" s="3">
        <f>'Annual Returns'!$Q$9</f>
        <v>302.33480650000013</v>
      </c>
      <c r="G9" s="3">
        <f>'Annual Returns'!$Q$19</f>
        <v>358.8819185000001</v>
      </c>
      <c r="H9" s="3">
        <f>'Annual Returns'!$Q$29</f>
        <v>330.6083625</v>
      </c>
    </row>
    <row r="10" spans="1:8" x14ac:dyDescent="0.25">
      <c r="B10" t="s">
        <v>81</v>
      </c>
      <c r="F10" s="3">
        <f>'Annual Returns'!$Q$10</f>
        <v>403.48999999999995</v>
      </c>
      <c r="G10" s="3">
        <f>'Annual Returns'!$Q$20</f>
        <v>379.90000000000003</v>
      </c>
      <c r="H10" s="3">
        <f>'Annual Returns'!$Q$30</f>
        <v>391.69500000000005</v>
      </c>
    </row>
    <row r="11" spans="1:8" x14ac:dyDescent="0.25">
      <c r="B11" t="s">
        <v>50</v>
      </c>
      <c r="F11" s="3">
        <f>'Annual Returns'!$Q$11</f>
        <v>-101.15519349999991</v>
      </c>
      <c r="G11" s="3">
        <f>'Annual Returns'!$Q$21</f>
        <v>-21.018081499999926</v>
      </c>
      <c r="H11" s="3">
        <f>'Annual Returns'!$Q$31</f>
        <v>-61.086637499999917</v>
      </c>
    </row>
    <row r="12" spans="1:8" x14ac:dyDescent="0.25">
      <c r="F12" s="3"/>
      <c r="G12" s="3"/>
      <c r="H12" s="3"/>
    </row>
    <row r="13" spans="1:8" x14ac:dyDescent="0.25">
      <c r="A13" s="1"/>
      <c r="B13" t="s">
        <v>104</v>
      </c>
      <c r="F13" s="14">
        <f>'Acreage Proportions'!$Q$5</f>
        <v>0.49999999999999989</v>
      </c>
      <c r="G13" s="14">
        <f>'Acreage Proportions'!$Q$7</f>
        <v>0.49999999999999989</v>
      </c>
      <c r="H13" s="14">
        <f>SUM(F13:G13)</f>
        <v>0.99999999999999978</v>
      </c>
    </row>
    <row r="16" spans="1:8" x14ac:dyDescent="0.25">
      <c r="B16" s="11" t="s">
        <v>135</v>
      </c>
    </row>
    <row r="18" spans="1:13" x14ac:dyDescent="0.25">
      <c r="F18" s="12" t="s">
        <v>96</v>
      </c>
      <c r="G18" s="12" t="s">
        <v>97</v>
      </c>
      <c r="H18" s="12" t="s">
        <v>136</v>
      </c>
      <c r="I18" s="12" t="s">
        <v>98</v>
      </c>
    </row>
    <row r="20" spans="1:13" x14ac:dyDescent="0.25">
      <c r="B20" t="s">
        <v>78</v>
      </c>
      <c r="F20" s="3">
        <f>'Annual Returns'!$Q$37</f>
        <v>923.92000000000007</v>
      </c>
      <c r="G20" s="3">
        <f>'Annual Returns'!$Q$47</f>
        <v>686.08999999999992</v>
      </c>
      <c r="H20" s="3">
        <f>'Annual Returns'!$Q$57</f>
        <v>489.64249999999981</v>
      </c>
      <c r="I20" s="3">
        <f>'Annual Returns'!$Q$67</f>
        <v>699.8841666666666</v>
      </c>
    </row>
    <row r="21" spans="1:13" x14ac:dyDescent="0.25">
      <c r="B21" t="s">
        <v>80</v>
      </c>
      <c r="F21" s="3">
        <f>'Annual Returns'!$Q$38</f>
        <v>621.58519349999995</v>
      </c>
      <c r="G21" s="3">
        <f>'Annual Returns'!$Q$48</f>
        <v>327.20808149999999</v>
      </c>
      <c r="H21" s="3">
        <f>'Annual Returns'!$Q$58</f>
        <v>241.4486</v>
      </c>
      <c r="I21" s="3">
        <f>'Annual Returns'!$Q$68</f>
        <v>396.74729166666663</v>
      </c>
    </row>
    <row r="22" spans="1:13" x14ac:dyDescent="0.25">
      <c r="B22" t="s">
        <v>49</v>
      </c>
      <c r="F22" s="3">
        <f>'Annual Returns'!$Q$39</f>
        <v>302.33480650000013</v>
      </c>
      <c r="G22" s="3">
        <f>'Annual Returns'!$Q$49</f>
        <v>358.8819185000001</v>
      </c>
      <c r="H22" s="3">
        <f>'Annual Returns'!$Q$59</f>
        <v>248.19389999999984</v>
      </c>
      <c r="I22" s="3">
        <f>'Annual Returns'!$Q$69</f>
        <v>303.13687499999997</v>
      </c>
    </row>
    <row r="23" spans="1:13" x14ac:dyDescent="0.25">
      <c r="B23" t="s">
        <v>81</v>
      </c>
      <c r="F23" s="3">
        <f>'Annual Returns'!$Q$40</f>
        <v>403.48999999999995</v>
      </c>
      <c r="G23" s="3">
        <f>'Annual Returns'!$Q$50</f>
        <v>379.90000000000003</v>
      </c>
      <c r="H23" s="3">
        <f>'Annual Returns'!$Q$60</f>
        <v>375.47402000000005</v>
      </c>
      <c r="I23" s="3">
        <f>'Annual Returns'!$Q$70</f>
        <v>386.28800666666666</v>
      </c>
    </row>
    <row r="24" spans="1:13" x14ac:dyDescent="0.25">
      <c r="B24" t="s">
        <v>50</v>
      </c>
      <c r="F24" s="3">
        <f>'Annual Returns'!$Q$41</f>
        <v>-101.15519349999991</v>
      </c>
      <c r="G24" s="3">
        <f>'Annual Returns'!$Q$51</f>
        <v>-21.018081499999926</v>
      </c>
      <c r="H24" s="3">
        <f>'Annual Returns'!$Q$61</f>
        <v>-127.28012000000012</v>
      </c>
      <c r="I24" s="3">
        <f>'Annual Returns'!$Q$71</f>
        <v>-83.151131666666657</v>
      </c>
    </row>
    <row r="25" spans="1:13" x14ac:dyDescent="0.25">
      <c r="F25" s="3"/>
      <c r="G25" s="3"/>
      <c r="I25" s="3"/>
    </row>
    <row r="26" spans="1:13" x14ac:dyDescent="0.25">
      <c r="A26" s="1"/>
      <c r="B26" t="s">
        <v>104</v>
      </c>
      <c r="F26" s="14">
        <f>'Acreage Proportions'!$Q$16</f>
        <v>0.3333333333333332</v>
      </c>
      <c r="G26" s="14">
        <f>'Acreage Proportions'!$Q$18</f>
        <v>0.3333333333333332</v>
      </c>
      <c r="H26" s="14">
        <f>'Acreage Proportions'!$Q$20</f>
        <v>0.3333333333333332</v>
      </c>
      <c r="I26" s="14">
        <f>SUM(F26:H26)</f>
        <v>0.99999999999999956</v>
      </c>
    </row>
    <row r="29" spans="1:13" x14ac:dyDescent="0.25">
      <c r="B29" s="11" t="s">
        <v>137</v>
      </c>
    </row>
    <row r="30" spans="1:13" x14ac:dyDescent="0.25">
      <c r="J30" s="29"/>
      <c r="K30" s="4"/>
      <c r="L30" s="4"/>
      <c r="M30" s="4"/>
    </row>
    <row r="31" spans="1:13" x14ac:dyDescent="0.25">
      <c r="A31" s="1"/>
      <c r="F31" s="12" t="s">
        <v>96</v>
      </c>
      <c r="G31" s="12" t="s">
        <v>160</v>
      </c>
      <c r="H31" s="12" t="s">
        <v>136</v>
      </c>
      <c r="I31" s="12" t="s">
        <v>161</v>
      </c>
      <c r="J31" s="12" t="s">
        <v>99</v>
      </c>
      <c r="K31" s="12" t="s">
        <v>100</v>
      </c>
      <c r="L31" s="12" t="s">
        <v>162</v>
      </c>
      <c r="M31" s="12" t="s">
        <v>98</v>
      </c>
    </row>
    <row r="33" spans="1:13" x14ac:dyDescent="0.25">
      <c r="B33" t="s">
        <v>88</v>
      </c>
      <c r="F33" s="3">
        <f>'Annual Returns'!$Q$77</f>
        <v>923.92000000000007</v>
      </c>
      <c r="G33" s="3">
        <f>'Annual Returns'!$Q$87</f>
        <v>535.0145</v>
      </c>
      <c r="H33" s="3">
        <f>'Annual Returns'!$Q$97</f>
        <v>489.64249999999981</v>
      </c>
      <c r="I33" s="3">
        <f>'Annual Returns'!$Q$107</f>
        <v>458.48899999999986</v>
      </c>
      <c r="J33" s="3">
        <f>'Annual Returns'!$Q$117</f>
        <v>1266.2249999999999</v>
      </c>
      <c r="K33" s="3">
        <f>'Annual Returns'!$Q$127</f>
        <v>1128.3712500000001</v>
      </c>
      <c r="L33" s="3">
        <f>'Annual Returns'!$Q$137</f>
        <v>539.83699999999988</v>
      </c>
      <c r="M33" s="3">
        <f>'Annual Returns'!$Q$147</f>
        <v>886.11583333333328</v>
      </c>
    </row>
    <row r="34" spans="1:13" x14ac:dyDescent="0.25">
      <c r="B34" t="s">
        <v>80</v>
      </c>
      <c r="F34" s="3">
        <f>'Annual Returns'!$Q$78</f>
        <v>621.58519349999995</v>
      </c>
      <c r="G34" s="3">
        <f>'Annual Returns'!$Q$88</f>
        <v>289.705645</v>
      </c>
      <c r="H34" s="3">
        <f>'Annual Returns'!$Q$98</f>
        <v>241.4486</v>
      </c>
      <c r="I34" s="3">
        <f>'Annual Returns'!$Q$108</f>
        <v>272.40564499999994</v>
      </c>
      <c r="J34" s="3">
        <f>'Annual Returns'!$Q$118</f>
        <v>559.42064500000004</v>
      </c>
      <c r="K34" s="3">
        <f>'Annual Returns'!$Q$128</f>
        <v>303.71614</v>
      </c>
      <c r="L34" s="3">
        <f>'Annual Returns'!$Q$138</f>
        <v>232.34999999999997</v>
      </c>
      <c r="M34" s="3">
        <f>'Annual Returns'!$Q$148</f>
        <v>372.21436656666657</v>
      </c>
    </row>
    <row r="35" spans="1:13" x14ac:dyDescent="0.25">
      <c r="B35" t="s">
        <v>49</v>
      </c>
      <c r="F35" s="3">
        <f>'Annual Returns'!$Q$79</f>
        <v>302.33480650000013</v>
      </c>
      <c r="G35" s="3">
        <f>'Annual Returns'!$Q$89</f>
        <v>245.30885500000005</v>
      </c>
      <c r="H35" s="3">
        <f>'Annual Returns'!$Q$99</f>
        <v>248.19389999999984</v>
      </c>
      <c r="I35" s="3">
        <f>'Annual Returns'!$Q$109</f>
        <v>186.0833549999999</v>
      </c>
      <c r="J35" s="3">
        <f>'Annual Returns'!$Q$119</f>
        <v>706.80435499999999</v>
      </c>
      <c r="K35" s="3">
        <f>'Annual Returns'!$Q$129</f>
        <v>824.65511000000004</v>
      </c>
      <c r="L35" s="3">
        <f>'Annual Returns'!$Q$139</f>
        <v>307.48699999999991</v>
      </c>
      <c r="M35" s="3">
        <f>'Annual Returns'!$Q$149</f>
        <v>513.90146676666654</v>
      </c>
    </row>
    <row r="36" spans="1:13" x14ac:dyDescent="0.25">
      <c r="B36" t="s">
        <v>81</v>
      </c>
      <c r="F36" s="3">
        <f>'Annual Returns'!$Q$80</f>
        <v>403.48999999999995</v>
      </c>
      <c r="G36" s="3">
        <f>'Annual Returns'!$Q$90</f>
        <v>450.53999999999996</v>
      </c>
      <c r="H36" s="3">
        <f>'Annual Returns'!$Q$100</f>
        <v>375.47402000000005</v>
      </c>
      <c r="I36" s="3">
        <f>'Annual Returns'!$Q$110</f>
        <v>434.88</v>
      </c>
      <c r="J36" s="3">
        <f>'Annual Returns'!$Q$120</f>
        <v>506.7399999999999</v>
      </c>
      <c r="K36" s="3">
        <f>'Annual Returns'!$Q$130</f>
        <v>446.34209999999996</v>
      </c>
      <c r="L36" s="3">
        <f>'Annual Returns'!$Q$140</f>
        <v>422.77</v>
      </c>
      <c r="M36" s="3">
        <f>'Annual Returns'!$Q$150</f>
        <v>451.78829066666651</v>
      </c>
    </row>
    <row r="37" spans="1:13" x14ac:dyDescent="0.25">
      <c r="B37" t="s">
        <v>50</v>
      </c>
      <c r="F37" s="3">
        <f>'Annual Returns'!$Q$81</f>
        <v>-101.15519349999991</v>
      </c>
      <c r="G37" s="3">
        <f>'Annual Returns'!$Q$91</f>
        <v>-205.23114499999991</v>
      </c>
      <c r="H37" s="3">
        <f>'Annual Returns'!$Q$101</f>
        <v>-127.28012000000012</v>
      </c>
      <c r="I37" s="3">
        <f>'Annual Returns'!$Q$111</f>
        <v>-248.79664500000007</v>
      </c>
      <c r="J37" s="3">
        <f>'Annual Returns'!$Q$121</f>
        <v>200.06435500000003</v>
      </c>
      <c r="K37" s="3">
        <f>'Annual Returns'!$Q$131</f>
        <v>378.31301000000008</v>
      </c>
      <c r="L37" s="3">
        <f>'Annual Returns'!$Q$141</f>
        <v>-115.28300000000009</v>
      </c>
      <c r="M37" s="3">
        <f>'Annual Returns'!$Q$151</f>
        <v>62.113176099999997</v>
      </c>
    </row>
    <row r="39" spans="1:13" x14ac:dyDescent="0.25">
      <c r="A39" s="1"/>
      <c r="B39" t="s">
        <v>104</v>
      </c>
      <c r="F39" s="14">
        <f>'Acreage Proportions'!$Q$29</f>
        <v>6.6666666666666652E-2</v>
      </c>
      <c r="G39" s="14">
        <f>'Acreage Proportions'!$Q$33</f>
        <v>3.3333333333333326E-2</v>
      </c>
      <c r="H39" s="14">
        <f>'Acreage Proportions'!$Q$35</f>
        <v>9.9999999999999978E-2</v>
      </c>
      <c r="I39" s="14">
        <f>'Acreage Proportions'!$Q$37</f>
        <v>9.9999999999999978E-2</v>
      </c>
      <c r="J39" s="14">
        <f>'Acreage Proportions'!$Q$39</f>
        <v>0.26666666666666661</v>
      </c>
      <c r="K39" s="14">
        <f>'Acreage Proportions'!$Q$41</f>
        <v>0.23333333333333331</v>
      </c>
      <c r="L39" s="14">
        <f>'Acreage Proportions'!$Q$43</f>
        <v>0.19999999999999996</v>
      </c>
      <c r="M39" s="15">
        <f>SUM(F39:L39)</f>
        <v>0.99999999999999978</v>
      </c>
    </row>
  </sheetData>
  <sheetProtection sheet="1" objects="1" scenarios="1"/>
  <pageMargins left="0.7" right="0.7" top="0.75" bottom="0.75" header="0.3" footer="0.3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59"/>
  <sheetViews>
    <sheetView tabSelected="1" zoomScale="150" zoomScaleNormal="150" workbookViewId="0">
      <pane xSplit="5" ySplit="6" topLeftCell="J137" activePane="bottomRight" state="frozen"/>
      <selection pane="topRight" activeCell="F1" sqref="F1"/>
      <selection pane="bottomLeft" activeCell="A7" sqref="A7"/>
      <selection pane="bottomRight" activeCell="Q143" sqref="Q143"/>
    </sheetView>
  </sheetViews>
  <sheetFormatPr defaultRowHeight="15" x14ac:dyDescent="0.25"/>
  <cols>
    <col min="20" max="20" width="10" bestFit="1" customWidth="1"/>
  </cols>
  <sheetData>
    <row r="1" spans="1:20" x14ac:dyDescent="0.25">
      <c r="A1" s="1" t="s">
        <v>82</v>
      </c>
    </row>
    <row r="3" spans="1:20" x14ac:dyDescent="0.25">
      <c r="F3" s="4" t="s">
        <v>54</v>
      </c>
      <c r="G3" s="4" t="s">
        <v>55</v>
      </c>
      <c r="H3" s="4" t="s">
        <v>56</v>
      </c>
      <c r="I3" s="4" t="s">
        <v>57</v>
      </c>
      <c r="J3" s="4" t="s">
        <v>58</v>
      </c>
      <c r="K3" s="4" t="s">
        <v>59</v>
      </c>
      <c r="L3" s="4" t="s">
        <v>60</v>
      </c>
      <c r="M3" s="4" t="s">
        <v>61</v>
      </c>
      <c r="N3" s="4" t="s">
        <v>62</v>
      </c>
      <c r="O3" s="4" t="s">
        <v>63</v>
      </c>
      <c r="Q3" s="4" t="s">
        <v>84</v>
      </c>
      <c r="R3" s="4" t="s">
        <v>85</v>
      </c>
      <c r="T3" s="4"/>
    </row>
    <row r="4" spans="1:20" x14ac:dyDescent="0.25">
      <c r="T4" s="46"/>
    </row>
    <row r="5" spans="1:20" x14ac:dyDescent="0.25">
      <c r="B5" t="s">
        <v>79</v>
      </c>
    </row>
    <row r="7" spans="1:20" x14ac:dyDescent="0.25">
      <c r="C7" t="s">
        <v>78</v>
      </c>
      <c r="F7" s="3">
        <f>('Long-Run Projections'!G7*'Long-Run Projections'!G21)+('Long-Run Projections'!G35)</f>
        <v>935.8</v>
      </c>
      <c r="G7" s="3">
        <f>('Long-Run Projections'!H7*'Long-Run Projections'!H21)+('Long-Run Projections'!H35)</f>
        <v>889</v>
      </c>
      <c r="H7" s="3">
        <f>('Long-Run Projections'!I7*'Long-Run Projections'!I21)+('Long-Run Projections'!I35)</f>
        <v>897.40000000000009</v>
      </c>
      <c r="I7" s="3">
        <f>('Long-Run Projections'!J7*'Long-Run Projections'!J21)+('Long-Run Projections'!J35)</f>
        <v>905.80000000000007</v>
      </c>
      <c r="J7" s="3">
        <f>('Long-Run Projections'!K7*'Long-Run Projections'!K21)+('Long-Run Projections'!K35)</f>
        <v>914.2</v>
      </c>
      <c r="K7" s="3">
        <f>('Long-Run Projections'!L7*'Long-Run Projections'!L21)+('Long-Run Projections'!L35)</f>
        <v>922.6</v>
      </c>
      <c r="L7" s="3">
        <f>('Long-Run Projections'!M7*'Long-Run Projections'!M21)+('Long-Run Projections'!M35)</f>
        <v>931</v>
      </c>
      <c r="M7" s="3">
        <f>('Long-Run Projections'!N7*'Long-Run Projections'!N21)+('Long-Run Projections'!N35)</f>
        <v>939.40000000000009</v>
      </c>
      <c r="N7" s="3">
        <f>('Long-Run Projections'!O7*'Long-Run Projections'!O21)+('Long-Run Projections'!O35)</f>
        <v>947.80000000000007</v>
      </c>
      <c r="O7" s="3">
        <f>('Long-Run Projections'!P7*'Long-Run Projections'!P21)+('Long-Run Projections'!P35)</f>
        <v>956.2</v>
      </c>
      <c r="Q7" s="3">
        <f>AVERAGE(F7:O7)</f>
        <v>923.92000000000007</v>
      </c>
      <c r="R7" s="3">
        <f>STDEV(F7:O7)</f>
        <v>22.086738102309265</v>
      </c>
    </row>
    <row r="8" spans="1:20" x14ac:dyDescent="0.25">
      <c r="C8" t="s">
        <v>80</v>
      </c>
      <c r="F8" s="3">
        <f>'Long-Run Projections'!G49</f>
        <v>621.58519349999995</v>
      </c>
      <c r="G8" s="3">
        <f>'Long-Run Projections'!H49</f>
        <v>621.58519349999995</v>
      </c>
      <c r="H8" s="3">
        <f>'Long-Run Projections'!I49</f>
        <v>621.58519349999995</v>
      </c>
      <c r="I8" s="3">
        <f>'Long-Run Projections'!J49</f>
        <v>621.58519349999995</v>
      </c>
      <c r="J8" s="3">
        <f>'Long-Run Projections'!K49</f>
        <v>621.58519349999995</v>
      </c>
      <c r="K8" s="3">
        <f>'Long-Run Projections'!L49</f>
        <v>621.58519349999995</v>
      </c>
      <c r="L8" s="3">
        <f>'Long-Run Projections'!M49</f>
        <v>621.58519349999995</v>
      </c>
      <c r="M8" s="3">
        <f>'Long-Run Projections'!N49</f>
        <v>621.58519349999995</v>
      </c>
      <c r="N8" s="3">
        <f>'Long-Run Projections'!O49</f>
        <v>621.58519349999995</v>
      </c>
      <c r="O8" s="3">
        <f>'Long-Run Projections'!P49</f>
        <v>621.58519349999995</v>
      </c>
      <c r="Q8" s="3">
        <f t="shared" ref="Q8:Q11" si="0">AVERAGE(F8:O8)</f>
        <v>621.58519349999995</v>
      </c>
      <c r="R8" s="3">
        <f t="shared" ref="R8:R11" si="1">STDEV(F8:O8)</f>
        <v>0</v>
      </c>
    </row>
    <row r="9" spans="1:20" x14ac:dyDescent="0.25">
      <c r="C9" t="s">
        <v>49</v>
      </c>
      <c r="F9" s="3">
        <f>F7-F8</f>
        <v>314.21480650000001</v>
      </c>
      <c r="G9" s="3">
        <f t="shared" ref="G9:K9" si="2">G7-G8</f>
        <v>267.41480650000005</v>
      </c>
      <c r="H9" s="3">
        <f t="shared" si="2"/>
        <v>275.81480650000015</v>
      </c>
      <c r="I9" s="3">
        <f t="shared" si="2"/>
        <v>284.21480650000012</v>
      </c>
      <c r="J9" s="3">
        <f t="shared" si="2"/>
        <v>292.6148065000001</v>
      </c>
      <c r="K9" s="3">
        <f t="shared" si="2"/>
        <v>301.01480650000008</v>
      </c>
      <c r="L9" s="3">
        <f t="shared" ref="L9" si="3">L7-L8</f>
        <v>309.41480650000005</v>
      </c>
      <c r="M9" s="3">
        <f t="shared" ref="M9" si="4">M7-M8</f>
        <v>317.81480650000015</v>
      </c>
      <c r="N9" s="3">
        <f t="shared" ref="N9" si="5">N7-N8</f>
        <v>326.21480650000012</v>
      </c>
      <c r="O9" s="3">
        <f t="shared" ref="O9" si="6">O7-O8</f>
        <v>334.6148065000001</v>
      </c>
      <c r="Q9" s="3">
        <f t="shared" si="0"/>
        <v>302.33480650000013</v>
      </c>
      <c r="R9" s="3">
        <f t="shared" si="1"/>
        <v>22.086738102309265</v>
      </c>
    </row>
    <row r="10" spans="1:20" x14ac:dyDescent="0.25">
      <c r="C10" t="s">
        <v>81</v>
      </c>
      <c r="F10" s="3">
        <f>'Long-Run Projections'!G63+'Long-Run Projections'!G77</f>
        <v>403.49</v>
      </c>
      <c r="G10" s="3">
        <f>'Long-Run Projections'!H63+'Long-Run Projections'!H77</f>
        <v>403.49</v>
      </c>
      <c r="H10" s="3">
        <f>'Long-Run Projections'!I63+'Long-Run Projections'!I77</f>
        <v>403.49</v>
      </c>
      <c r="I10" s="3">
        <f>'Long-Run Projections'!J63+'Long-Run Projections'!J77</f>
        <v>403.49</v>
      </c>
      <c r="J10" s="3">
        <f>'Long-Run Projections'!K63+'Long-Run Projections'!K77</f>
        <v>403.49</v>
      </c>
      <c r="K10" s="3">
        <f>'Long-Run Projections'!L63+'Long-Run Projections'!L77</f>
        <v>403.49</v>
      </c>
      <c r="L10" s="3">
        <f>'Long-Run Projections'!M63+'Long-Run Projections'!M77</f>
        <v>403.49</v>
      </c>
      <c r="M10" s="3">
        <f>'Long-Run Projections'!N63+'Long-Run Projections'!N77</f>
        <v>403.49</v>
      </c>
      <c r="N10" s="3">
        <f>'Long-Run Projections'!O63+'Long-Run Projections'!O77</f>
        <v>403.49</v>
      </c>
      <c r="O10" s="3">
        <f>'Long-Run Projections'!P63+'Long-Run Projections'!P77</f>
        <v>403.49</v>
      </c>
      <c r="Q10" s="3">
        <f t="shared" si="0"/>
        <v>403.48999999999995</v>
      </c>
      <c r="R10" s="3">
        <f t="shared" si="1"/>
        <v>5.9918224530375701E-14</v>
      </c>
    </row>
    <row r="11" spans="1:20" x14ac:dyDescent="0.25">
      <c r="C11" t="s">
        <v>50</v>
      </c>
      <c r="F11" s="3">
        <f>F9-F10</f>
        <v>-89.2751935</v>
      </c>
      <c r="G11" s="3">
        <f t="shared" ref="G11:K11" si="7">G9-G10</f>
        <v>-136.07519349999995</v>
      </c>
      <c r="H11" s="3">
        <f t="shared" si="7"/>
        <v>-127.67519349999986</v>
      </c>
      <c r="I11" s="3">
        <f t="shared" si="7"/>
        <v>-119.27519349999989</v>
      </c>
      <c r="J11" s="3">
        <f t="shared" si="7"/>
        <v>-110.87519349999991</v>
      </c>
      <c r="K11" s="3">
        <f t="shared" si="7"/>
        <v>-102.47519349999993</v>
      </c>
      <c r="L11" s="3">
        <f t="shared" ref="L11" si="8">L9-L10</f>
        <v>-94.075193499999955</v>
      </c>
      <c r="M11" s="3">
        <f t="shared" ref="M11" si="9">M9-M10</f>
        <v>-85.675193499999864</v>
      </c>
      <c r="N11" s="3">
        <f t="shared" ref="N11" si="10">N9-N10</f>
        <v>-77.275193499999887</v>
      </c>
      <c r="O11" s="3">
        <f t="shared" ref="O11" si="11">O9-O10</f>
        <v>-68.875193499999909</v>
      </c>
      <c r="Q11" s="3">
        <f t="shared" si="0"/>
        <v>-101.15519349999991</v>
      </c>
      <c r="R11" s="3">
        <f t="shared" si="1"/>
        <v>22.086738102309262</v>
      </c>
    </row>
    <row r="12" spans="1:20" x14ac:dyDescent="0.25">
      <c r="F12" s="3"/>
      <c r="G12" s="3"/>
      <c r="H12" s="3"/>
      <c r="I12" s="3"/>
      <c r="J12" s="3"/>
      <c r="K12" s="3"/>
      <c r="L12" s="3"/>
      <c r="M12" s="3"/>
      <c r="N12" s="3"/>
      <c r="O12" s="3"/>
      <c r="Q12" s="3"/>
      <c r="R12" s="3"/>
    </row>
    <row r="13" spans="1:20" x14ac:dyDescent="0.25">
      <c r="C13" t="s">
        <v>86</v>
      </c>
      <c r="F13" s="3">
        <f>F11+'Long-Run Projections'!G77</f>
        <v>165.7248065</v>
      </c>
      <c r="G13" s="3">
        <f>G11+'Long-Run Projections'!H77</f>
        <v>118.92480650000005</v>
      </c>
      <c r="H13" s="3">
        <f>H11+'Long-Run Projections'!I77</f>
        <v>127.32480650000014</v>
      </c>
      <c r="I13" s="3">
        <f>I11+'Long-Run Projections'!J77</f>
        <v>135.72480650000011</v>
      </c>
      <c r="J13" s="3">
        <f>J11+'Long-Run Projections'!K77</f>
        <v>144.12480650000009</v>
      </c>
      <c r="K13" s="3">
        <f>K11+'Long-Run Projections'!L77</f>
        <v>152.52480650000007</v>
      </c>
      <c r="L13" s="3">
        <f>L11+'Long-Run Projections'!M77</f>
        <v>160.92480650000005</v>
      </c>
      <c r="M13" s="3">
        <f>M11+'Long-Run Projections'!N77</f>
        <v>169.32480650000014</v>
      </c>
      <c r="N13" s="3">
        <f>N11+'Long-Run Projections'!O77</f>
        <v>177.72480650000011</v>
      </c>
      <c r="O13" s="3">
        <f>O11+'Long-Run Projections'!P77</f>
        <v>186.12480650000009</v>
      </c>
      <c r="Q13" s="3">
        <f t="shared" ref="Q13" si="12">AVERAGE(F13:O13)</f>
        <v>153.84480650000009</v>
      </c>
      <c r="R13" s="3">
        <f t="shared" ref="R13" si="13">STDEV(F13:O13)</f>
        <v>22.086738102309116</v>
      </c>
      <c r="T13" s="33"/>
    </row>
    <row r="15" spans="1:20" x14ac:dyDescent="0.25">
      <c r="B15" t="s">
        <v>105</v>
      </c>
    </row>
    <row r="17" spans="2:20" x14ac:dyDescent="0.25">
      <c r="C17" t="s">
        <v>78</v>
      </c>
      <c r="F17" s="3">
        <f>('Long-Run Projections'!G8*'Long-Run Projections'!G22)+('Long-Run Projections'!G36)</f>
        <v>713</v>
      </c>
      <c r="G17" s="3">
        <f>('Long-Run Projections'!H8*'Long-Run Projections'!H22)+('Long-Run Projections'!H36)</f>
        <v>662.30000000000007</v>
      </c>
      <c r="H17" s="3">
        <f>('Long-Run Projections'!I8*'Long-Run Projections'!I22)+('Long-Run Projections'!I36)</f>
        <v>667.5</v>
      </c>
      <c r="I17" s="3">
        <f>('Long-Run Projections'!J8*'Long-Run Projections'!J22)+('Long-Run Projections'!J36)</f>
        <v>672.7</v>
      </c>
      <c r="J17" s="3">
        <f>('Long-Run Projections'!K8*'Long-Run Projections'!K22)+('Long-Run Projections'!K36)</f>
        <v>677.90000000000009</v>
      </c>
      <c r="K17" s="3">
        <f>('Long-Run Projections'!L8*'Long-Run Projections'!L22)+('Long-Run Projections'!L36)</f>
        <v>683.1</v>
      </c>
      <c r="L17" s="3">
        <f>('Long-Run Projections'!M8*'Long-Run Projections'!M22)+('Long-Run Projections'!M36)</f>
        <v>688.30000000000007</v>
      </c>
      <c r="M17" s="3">
        <f>('Long-Run Projections'!N8*'Long-Run Projections'!N22)+('Long-Run Projections'!N36)</f>
        <v>693.5</v>
      </c>
      <c r="N17" s="3">
        <f>('Long-Run Projections'!O8*'Long-Run Projections'!O22)+('Long-Run Projections'!O36)</f>
        <v>698.7</v>
      </c>
      <c r="O17" s="3">
        <f>('Long-Run Projections'!P8*'Long-Run Projections'!P22)+('Long-Run Projections'!P36)</f>
        <v>703.90000000000009</v>
      </c>
      <c r="Q17" s="3">
        <f>AVERAGE(F17:O17)</f>
        <v>686.08999999999992</v>
      </c>
      <c r="R17" s="3">
        <f>STDEV(F17:O17)</f>
        <v>16.421561030141639</v>
      </c>
    </row>
    <row r="18" spans="2:20" x14ac:dyDescent="0.25">
      <c r="C18" t="s">
        <v>80</v>
      </c>
      <c r="F18" s="3">
        <f>'Long-Run Projections'!G50</f>
        <v>327.20808149999999</v>
      </c>
      <c r="G18" s="3">
        <f>'Long-Run Projections'!H50</f>
        <v>327.20808149999999</v>
      </c>
      <c r="H18" s="3">
        <f>'Long-Run Projections'!I50</f>
        <v>327.20808149999999</v>
      </c>
      <c r="I18" s="3">
        <f>'Long-Run Projections'!J50</f>
        <v>327.20808149999999</v>
      </c>
      <c r="J18" s="3">
        <f>'Long-Run Projections'!K50</f>
        <v>327.20808149999999</v>
      </c>
      <c r="K18" s="3">
        <f>'Long-Run Projections'!L50</f>
        <v>327.20808149999999</v>
      </c>
      <c r="L18" s="3">
        <f>'Long-Run Projections'!M50</f>
        <v>327.20808149999999</v>
      </c>
      <c r="M18" s="3">
        <f>'Long-Run Projections'!N50</f>
        <v>327.20808149999999</v>
      </c>
      <c r="N18" s="3">
        <f>'Long-Run Projections'!O50</f>
        <v>327.20808149999999</v>
      </c>
      <c r="O18" s="3">
        <f>'Long-Run Projections'!P50</f>
        <v>327.20808149999999</v>
      </c>
      <c r="Q18" s="3">
        <f t="shared" ref="Q18:Q21" si="14">AVERAGE(F18:O18)</f>
        <v>327.20808149999999</v>
      </c>
      <c r="R18" s="3">
        <f t="shared" ref="R18:R21" si="15">STDEV(F18:O18)</f>
        <v>0</v>
      </c>
    </row>
    <row r="19" spans="2:20" x14ac:dyDescent="0.25">
      <c r="C19" t="s">
        <v>49</v>
      </c>
      <c r="F19" s="3">
        <f>F17-F18</f>
        <v>385.79191850000001</v>
      </c>
      <c r="G19" s="3">
        <f t="shared" ref="G19:J19" si="16">G17-G18</f>
        <v>335.09191850000008</v>
      </c>
      <c r="H19" s="3">
        <f t="shared" si="16"/>
        <v>340.29191850000001</v>
      </c>
      <c r="I19" s="3">
        <f t="shared" si="16"/>
        <v>345.49191850000005</v>
      </c>
      <c r="J19" s="3">
        <f t="shared" si="16"/>
        <v>350.6919185000001</v>
      </c>
      <c r="K19" s="3">
        <f t="shared" ref="K19" si="17">K17-K18</f>
        <v>355.89191850000003</v>
      </c>
      <c r="L19" s="3">
        <f t="shared" ref="L19" si="18">L17-L18</f>
        <v>361.09191850000008</v>
      </c>
      <c r="M19" s="3">
        <f t="shared" ref="M19" si="19">M17-M18</f>
        <v>366.29191850000001</v>
      </c>
      <c r="N19" s="3">
        <f t="shared" ref="N19:O19" si="20">N17-N18</f>
        <v>371.49191850000005</v>
      </c>
      <c r="O19" s="3">
        <f t="shared" si="20"/>
        <v>376.6919185000001</v>
      </c>
      <c r="Q19" s="3">
        <f t="shared" si="14"/>
        <v>358.8819185000001</v>
      </c>
      <c r="R19" s="3">
        <f t="shared" si="15"/>
        <v>16.421561030141639</v>
      </c>
    </row>
    <row r="20" spans="2:20" x14ac:dyDescent="0.25">
      <c r="C20" t="s">
        <v>81</v>
      </c>
      <c r="F20" s="3">
        <f>'Long-Run Projections'!G64+'Long-Run Projections'!G78</f>
        <v>379.9</v>
      </c>
      <c r="G20" s="3">
        <f>'Long-Run Projections'!H64+'Long-Run Projections'!H78</f>
        <v>379.9</v>
      </c>
      <c r="H20" s="3">
        <f>'Long-Run Projections'!I64+'Long-Run Projections'!I78</f>
        <v>379.9</v>
      </c>
      <c r="I20" s="3">
        <f>'Long-Run Projections'!J64+'Long-Run Projections'!J78</f>
        <v>379.9</v>
      </c>
      <c r="J20" s="3">
        <f>'Long-Run Projections'!K64+'Long-Run Projections'!K78</f>
        <v>379.9</v>
      </c>
      <c r="K20" s="3">
        <f>'Long-Run Projections'!L64+'Long-Run Projections'!L78</f>
        <v>379.9</v>
      </c>
      <c r="L20" s="3">
        <f>'Long-Run Projections'!M64+'Long-Run Projections'!M78</f>
        <v>379.9</v>
      </c>
      <c r="M20" s="3">
        <f>'Long-Run Projections'!N64+'Long-Run Projections'!N78</f>
        <v>379.9</v>
      </c>
      <c r="N20" s="3">
        <f>'Long-Run Projections'!O64+'Long-Run Projections'!O78</f>
        <v>379.9</v>
      </c>
      <c r="O20" s="3">
        <f>'Long-Run Projections'!P64+'Long-Run Projections'!P78</f>
        <v>379.9</v>
      </c>
      <c r="Q20" s="3">
        <f t="shared" si="14"/>
        <v>379.90000000000003</v>
      </c>
      <c r="R20" s="3">
        <f t="shared" si="15"/>
        <v>5.9918224530375701E-14</v>
      </c>
    </row>
    <row r="21" spans="2:20" x14ac:dyDescent="0.25">
      <c r="C21" t="s">
        <v>50</v>
      </c>
      <c r="F21" s="3">
        <f>F19-F20</f>
        <v>5.8919185000000311</v>
      </c>
      <c r="G21" s="3">
        <f t="shared" ref="G21:J21" si="21">G19-G20</f>
        <v>-44.808081499999901</v>
      </c>
      <c r="H21" s="3">
        <f t="shared" si="21"/>
        <v>-39.608081499999969</v>
      </c>
      <c r="I21" s="3">
        <f t="shared" si="21"/>
        <v>-34.408081499999923</v>
      </c>
      <c r="J21" s="3">
        <f t="shared" si="21"/>
        <v>-29.208081499999878</v>
      </c>
      <c r="K21" s="3">
        <f t="shared" ref="K21" si="22">K19-K20</f>
        <v>-24.008081499999946</v>
      </c>
      <c r="L21" s="3">
        <f t="shared" ref="L21" si="23">L19-L20</f>
        <v>-18.808081499999901</v>
      </c>
      <c r="M21" s="3">
        <f t="shared" ref="M21" si="24">M19-M20</f>
        <v>-13.608081499999969</v>
      </c>
      <c r="N21" s="3">
        <f t="shared" ref="N21:O21" si="25">N19-N20</f>
        <v>-8.4080814999999234</v>
      </c>
      <c r="O21" s="3">
        <f t="shared" si="25"/>
        <v>-3.2080814999998779</v>
      </c>
      <c r="Q21" s="3">
        <f t="shared" si="14"/>
        <v>-21.018081499999926</v>
      </c>
      <c r="R21" s="3">
        <f t="shared" si="15"/>
        <v>16.421561030141639</v>
      </c>
    </row>
    <row r="22" spans="2:20" x14ac:dyDescent="0.25">
      <c r="F22" s="3"/>
      <c r="G22" s="3"/>
      <c r="H22" s="3"/>
      <c r="I22" s="3"/>
      <c r="J22" s="3"/>
      <c r="K22" s="3"/>
      <c r="L22" s="3"/>
      <c r="M22" s="3"/>
      <c r="N22" s="3"/>
      <c r="O22" s="3"/>
      <c r="Q22" s="3"/>
      <c r="R22" s="3"/>
    </row>
    <row r="23" spans="2:20" x14ac:dyDescent="0.25">
      <c r="C23" t="s">
        <v>86</v>
      </c>
      <c r="F23" s="3">
        <f>F21+'Long-Run Projections'!G78</f>
        <v>260.89191850000003</v>
      </c>
      <c r="G23" s="3">
        <f>G21+'Long-Run Projections'!H78</f>
        <v>210.1919185000001</v>
      </c>
      <c r="H23" s="3">
        <f>H21+'Long-Run Projections'!I78</f>
        <v>215.39191850000003</v>
      </c>
      <c r="I23" s="3">
        <f>I21+'Long-Run Projections'!J78</f>
        <v>220.59191850000008</v>
      </c>
      <c r="J23" s="3">
        <f>J21+'Long-Run Projections'!K78</f>
        <v>225.79191850000012</v>
      </c>
      <c r="K23" s="3">
        <f>K21+'Long-Run Projections'!L78</f>
        <v>230.99191850000005</v>
      </c>
      <c r="L23" s="3">
        <f>L21+'Long-Run Projections'!M78</f>
        <v>236.1919185000001</v>
      </c>
      <c r="M23" s="3">
        <f>M21+'Long-Run Projections'!N78</f>
        <v>241.39191850000003</v>
      </c>
      <c r="N23" s="3">
        <f>N21+'Long-Run Projections'!O78</f>
        <v>246.59191850000008</v>
      </c>
      <c r="O23" s="3">
        <f>O21+'Long-Run Projections'!P78</f>
        <v>251.79191850000012</v>
      </c>
      <c r="Q23" s="3">
        <f t="shared" ref="Q23" si="26">AVERAGE(F23:O23)</f>
        <v>233.98191850000006</v>
      </c>
      <c r="R23" s="3">
        <f t="shared" ref="R23" si="27">STDEV(F23:O23)</f>
        <v>16.421561030141639</v>
      </c>
      <c r="T23" s="33"/>
    </row>
    <row r="25" spans="2:20" x14ac:dyDescent="0.25">
      <c r="B25" s="27" t="s">
        <v>148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</row>
    <row r="26" spans="2:20" x14ac:dyDescent="0.25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2:20" x14ac:dyDescent="0.25">
      <c r="B27" s="27"/>
      <c r="C27" s="27" t="s">
        <v>88</v>
      </c>
      <c r="D27" s="27"/>
      <c r="E27" s="27"/>
      <c r="F27" s="28">
        <f>AVERAGE(F7, F17)</f>
        <v>824.4</v>
      </c>
      <c r="G27" s="28">
        <f t="shared" ref="G27:J27" si="28">AVERAGE(G7, G17)</f>
        <v>775.65000000000009</v>
      </c>
      <c r="H27" s="28">
        <f t="shared" si="28"/>
        <v>782.45</v>
      </c>
      <c r="I27" s="28">
        <f t="shared" si="28"/>
        <v>789.25</v>
      </c>
      <c r="J27" s="28">
        <f t="shared" si="28"/>
        <v>796.05000000000007</v>
      </c>
      <c r="K27" s="28">
        <f t="shared" ref="K27:N27" si="29">AVERAGE(K7, K17)</f>
        <v>802.85</v>
      </c>
      <c r="L27" s="28">
        <f t="shared" si="29"/>
        <v>809.65000000000009</v>
      </c>
      <c r="M27" s="28">
        <f t="shared" si="29"/>
        <v>816.45</v>
      </c>
      <c r="N27" s="28">
        <f t="shared" si="29"/>
        <v>823.25</v>
      </c>
      <c r="O27" s="28">
        <f t="shared" ref="O27" si="30">AVERAGE(O7, O17)</f>
        <v>830.05000000000007</v>
      </c>
      <c r="P27" s="27"/>
      <c r="Q27" s="28">
        <f t="shared" ref="Q27:Q31" si="31">AVERAGE(F27:O27)</f>
        <v>805.00500000000011</v>
      </c>
      <c r="R27" s="28">
        <f t="shared" ref="R27:R31" si="32">STDEV(F27:O27)</f>
        <v>18.833664451366502</v>
      </c>
    </row>
    <row r="28" spans="2:20" x14ac:dyDescent="0.25">
      <c r="B28" s="27"/>
      <c r="C28" s="27" t="s">
        <v>80</v>
      </c>
      <c r="D28" s="27"/>
      <c r="E28" s="27"/>
      <c r="F28" s="28">
        <f>AVERAGE(F8, F18)</f>
        <v>474.3966375</v>
      </c>
      <c r="G28" s="28">
        <f t="shared" ref="G28:J31" si="33">AVERAGE(G8, G18)</f>
        <v>474.3966375</v>
      </c>
      <c r="H28" s="28">
        <f t="shared" si="33"/>
        <v>474.3966375</v>
      </c>
      <c r="I28" s="28">
        <f t="shared" si="33"/>
        <v>474.3966375</v>
      </c>
      <c r="J28" s="28">
        <f t="shared" si="33"/>
        <v>474.3966375</v>
      </c>
      <c r="K28" s="28">
        <f t="shared" ref="K28:N28" si="34">AVERAGE(K8, K18)</f>
        <v>474.3966375</v>
      </c>
      <c r="L28" s="28">
        <f t="shared" si="34"/>
        <v>474.3966375</v>
      </c>
      <c r="M28" s="28">
        <f t="shared" si="34"/>
        <v>474.3966375</v>
      </c>
      <c r="N28" s="28">
        <f t="shared" si="34"/>
        <v>474.3966375</v>
      </c>
      <c r="O28" s="28">
        <f t="shared" ref="O28" si="35">AVERAGE(O8, O18)</f>
        <v>474.3966375</v>
      </c>
      <c r="P28" s="27"/>
      <c r="Q28" s="28">
        <f t="shared" si="31"/>
        <v>474.3966375</v>
      </c>
      <c r="R28" s="28">
        <f t="shared" si="32"/>
        <v>0</v>
      </c>
    </row>
    <row r="29" spans="2:20" x14ac:dyDescent="0.25">
      <c r="B29" s="27"/>
      <c r="C29" s="27" t="s">
        <v>49</v>
      </c>
      <c r="D29" s="27"/>
      <c r="E29" s="27"/>
      <c r="F29" s="28">
        <f>AVERAGE(F9, F19)</f>
        <v>350.00336249999998</v>
      </c>
      <c r="G29" s="28">
        <f t="shared" si="33"/>
        <v>301.25336250000009</v>
      </c>
      <c r="H29" s="28">
        <f t="shared" si="33"/>
        <v>308.05336250000005</v>
      </c>
      <c r="I29" s="28">
        <f t="shared" si="33"/>
        <v>314.85336250000012</v>
      </c>
      <c r="J29" s="28">
        <f t="shared" si="33"/>
        <v>321.65336250000007</v>
      </c>
      <c r="K29" s="28">
        <f t="shared" ref="K29:N29" si="36">AVERAGE(K9, K19)</f>
        <v>328.45336250000003</v>
      </c>
      <c r="L29" s="28">
        <f t="shared" si="36"/>
        <v>335.25336250000009</v>
      </c>
      <c r="M29" s="28">
        <f t="shared" si="36"/>
        <v>342.05336250000005</v>
      </c>
      <c r="N29" s="28">
        <f t="shared" si="36"/>
        <v>348.85336250000012</v>
      </c>
      <c r="O29" s="28">
        <f t="shared" ref="O29" si="37">AVERAGE(O9, O19)</f>
        <v>355.65336250000007</v>
      </c>
      <c r="P29" s="27"/>
      <c r="Q29" s="28">
        <f t="shared" si="31"/>
        <v>330.6083625</v>
      </c>
      <c r="R29" s="28">
        <f t="shared" si="32"/>
        <v>18.833664451366502</v>
      </c>
    </row>
    <row r="30" spans="2:20" x14ac:dyDescent="0.25">
      <c r="B30" s="27"/>
      <c r="C30" s="27" t="s">
        <v>81</v>
      </c>
      <c r="D30" s="27"/>
      <c r="E30" s="27"/>
      <c r="F30" s="28">
        <f>AVERAGE(F10, F20)</f>
        <v>391.69499999999999</v>
      </c>
      <c r="G30" s="28">
        <f t="shared" si="33"/>
        <v>391.69499999999999</v>
      </c>
      <c r="H30" s="28">
        <f t="shared" si="33"/>
        <v>391.69499999999999</v>
      </c>
      <c r="I30" s="28">
        <f t="shared" si="33"/>
        <v>391.69499999999999</v>
      </c>
      <c r="J30" s="28">
        <f t="shared" si="33"/>
        <v>391.69499999999999</v>
      </c>
      <c r="K30" s="28">
        <f t="shared" ref="K30:N30" si="38">AVERAGE(K10, K20)</f>
        <v>391.69499999999999</v>
      </c>
      <c r="L30" s="28">
        <f t="shared" si="38"/>
        <v>391.69499999999999</v>
      </c>
      <c r="M30" s="28">
        <f t="shared" si="38"/>
        <v>391.69499999999999</v>
      </c>
      <c r="N30" s="28">
        <f t="shared" si="38"/>
        <v>391.69499999999999</v>
      </c>
      <c r="O30" s="28">
        <f t="shared" ref="O30" si="39">AVERAGE(O10, O20)</f>
        <v>391.69499999999999</v>
      </c>
      <c r="P30" s="27"/>
      <c r="Q30" s="28">
        <f t="shared" si="31"/>
        <v>391.69500000000005</v>
      </c>
      <c r="R30" s="28">
        <f t="shared" si="32"/>
        <v>5.9918224530375701E-14</v>
      </c>
    </row>
    <row r="31" spans="2:20" x14ac:dyDescent="0.25">
      <c r="B31" s="27"/>
      <c r="C31" s="27" t="s">
        <v>50</v>
      </c>
      <c r="D31" s="27"/>
      <c r="E31" s="27"/>
      <c r="F31" s="28">
        <f>AVERAGE(F11, F21)</f>
        <v>-41.691637499999985</v>
      </c>
      <c r="G31" s="28">
        <f t="shared" si="33"/>
        <v>-90.441637499999928</v>
      </c>
      <c r="H31" s="28">
        <f t="shared" si="33"/>
        <v>-83.641637499999916</v>
      </c>
      <c r="I31" s="28">
        <f t="shared" si="33"/>
        <v>-76.841637499999905</v>
      </c>
      <c r="J31" s="28">
        <f t="shared" si="33"/>
        <v>-70.041637499999894</v>
      </c>
      <c r="K31" s="28">
        <f t="shared" ref="K31:N31" si="40">AVERAGE(K11, K21)</f>
        <v>-63.241637499999939</v>
      </c>
      <c r="L31" s="28">
        <f t="shared" si="40"/>
        <v>-56.441637499999928</v>
      </c>
      <c r="M31" s="28">
        <f t="shared" si="40"/>
        <v>-49.641637499999916</v>
      </c>
      <c r="N31" s="28">
        <f t="shared" si="40"/>
        <v>-42.841637499999905</v>
      </c>
      <c r="O31" s="28">
        <f t="shared" ref="O31:O33" si="41">AVERAGE(O11, O21)</f>
        <v>-36.041637499999894</v>
      </c>
      <c r="P31" s="27"/>
      <c r="Q31" s="28">
        <f t="shared" si="31"/>
        <v>-61.086637499999917</v>
      </c>
      <c r="R31" s="28">
        <f t="shared" si="32"/>
        <v>18.833664451366527</v>
      </c>
    </row>
    <row r="32" spans="2:20" x14ac:dyDescent="0.25">
      <c r="B32" s="27"/>
      <c r="C32" s="27"/>
      <c r="D32" s="27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7"/>
      <c r="Q32" s="28"/>
      <c r="R32" s="28"/>
    </row>
    <row r="33" spans="2:20" x14ac:dyDescent="0.25">
      <c r="B33" s="27"/>
      <c r="C33" s="27" t="s">
        <v>86</v>
      </c>
      <c r="D33" s="27"/>
      <c r="E33" s="27"/>
      <c r="F33" s="28">
        <f>AVERAGE(F13, F23)</f>
        <v>213.30836250000002</v>
      </c>
      <c r="G33" s="28">
        <f t="shared" ref="G33:N33" si="42">AVERAGE(G13, G23)</f>
        <v>164.55836250000007</v>
      </c>
      <c r="H33" s="28">
        <f t="shared" si="42"/>
        <v>171.35836250000008</v>
      </c>
      <c r="I33" s="28">
        <f t="shared" si="42"/>
        <v>178.15836250000009</v>
      </c>
      <c r="J33" s="28">
        <f t="shared" si="42"/>
        <v>184.95836250000011</v>
      </c>
      <c r="K33" s="28">
        <f t="shared" si="42"/>
        <v>191.75836250000006</v>
      </c>
      <c r="L33" s="28">
        <f t="shared" si="42"/>
        <v>198.55836250000007</v>
      </c>
      <c r="M33" s="28">
        <f t="shared" si="42"/>
        <v>205.35836250000008</v>
      </c>
      <c r="N33" s="28">
        <f t="shared" si="42"/>
        <v>212.15836250000009</v>
      </c>
      <c r="O33" s="28">
        <f t="shared" si="41"/>
        <v>218.95836250000011</v>
      </c>
      <c r="P33" s="27"/>
      <c r="Q33" s="28">
        <f t="shared" ref="Q33" si="43">AVERAGE(F33:O33)</f>
        <v>193.91336250000009</v>
      </c>
      <c r="R33" s="28">
        <f t="shared" ref="R33" si="44">STDEV(F33:O33)</f>
        <v>18.833664451366506</v>
      </c>
      <c r="T33" s="34"/>
    </row>
    <row r="34" spans="2:20" x14ac:dyDescent="0.25">
      <c r="F34" s="39"/>
      <c r="G34" s="39"/>
      <c r="H34" s="39"/>
      <c r="I34" s="39"/>
      <c r="J34" s="39"/>
      <c r="K34" s="39"/>
      <c r="L34" s="39"/>
      <c r="M34" s="39"/>
      <c r="N34" s="39"/>
      <c r="O34" s="39"/>
      <c r="T34" s="40"/>
    </row>
    <row r="35" spans="2:20" x14ac:dyDescent="0.25">
      <c r="B35" t="s">
        <v>79</v>
      </c>
    </row>
    <row r="37" spans="2:20" x14ac:dyDescent="0.25">
      <c r="C37" t="s">
        <v>78</v>
      </c>
      <c r="F37" s="3">
        <f>('Long-Run Projections'!G7*'Long-Run Projections'!G21)+('Long-Run Projections'!G35)</f>
        <v>935.8</v>
      </c>
      <c r="G37" s="3">
        <f>('Long-Run Projections'!H7*'Long-Run Projections'!H21)+('Long-Run Projections'!H35)</f>
        <v>889</v>
      </c>
      <c r="H37" s="3">
        <f>('Long-Run Projections'!I7*'Long-Run Projections'!I21)+('Long-Run Projections'!I35)</f>
        <v>897.40000000000009</v>
      </c>
      <c r="I37" s="3">
        <f>('Long-Run Projections'!J7*'Long-Run Projections'!J21)+('Long-Run Projections'!J35)</f>
        <v>905.80000000000007</v>
      </c>
      <c r="J37" s="3">
        <f>('Long-Run Projections'!K7*'Long-Run Projections'!K21)+('Long-Run Projections'!K35)</f>
        <v>914.2</v>
      </c>
      <c r="K37" s="3">
        <f>('Long-Run Projections'!L7*'Long-Run Projections'!L21)+('Long-Run Projections'!L35)</f>
        <v>922.6</v>
      </c>
      <c r="L37" s="3">
        <f>('Long-Run Projections'!M7*'Long-Run Projections'!M21)+('Long-Run Projections'!M35)</f>
        <v>931</v>
      </c>
      <c r="M37" s="3">
        <f>('Long-Run Projections'!N7*'Long-Run Projections'!N21)+('Long-Run Projections'!N35)</f>
        <v>939.40000000000009</v>
      </c>
      <c r="N37" s="3">
        <f>('Long-Run Projections'!O7*'Long-Run Projections'!O21)+('Long-Run Projections'!O35)</f>
        <v>947.80000000000007</v>
      </c>
      <c r="O37" s="3">
        <f>('Long-Run Projections'!P7*'Long-Run Projections'!P21)+('Long-Run Projections'!P35)</f>
        <v>956.2</v>
      </c>
      <c r="Q37" s="3">
        <f>AVERAGE(F37:O37)</f>
        <v>923.92000000000007</v>
      </c>
      <c r="R37" s="3">
        <f>STDEV(F37:O37)</f>
        <v>22.086738102309265</v>
      </c>
    </row>
    <row r="38" spans="2:20" x14ac:dyDescent="0.25">
      <c r="C38" t="s">
        <v>80</v>
      </c>
      <c r="F38" s="3">
        <f>'Long-Run Projections'!G49</f>
        <v>621.58519349999995</v>
      </c>
      <c r="G38" s="3">
        <f>'Long-Run Projections'!H49</f>
        <v>621.58519349999995</v>
      </c>
      <c r="H38" s="3">
        <f>'Long-Run Projections'!I49</f>
        <v>621.58519349999995</v>
      </c>
      <c r="I38" s="3">
        <f>'Long-Run Projections'!J49</f>
        <v>621.58519349999995</v>
      </c>
      <c r="J38" s="3">
        <f>'Long-Run Projections'!K49</f>
        <v>621.58519349999995</v>
      </c>
      <c r="K38" s="3">
        <f>'Long-Run Projections'!L49</f>
        <v>621.58519349999995</v>
      </c>
      <c r="L38" s="3">
        <f>'Long-Run Projections'!M49</f>
        <v>621.58519349999995</v>
      </c>
      <c r="M38" s="3">
        <f>'Long-Run Projections'!N49</f>
        <v>621.58519349999995</v>
      </c>
      <c r="N38" s="3">
        <f>'Long-Run Projections'!O49</f>
        <v>621.58519349999995</v>
      </c>
      <c r="O38" s="3">
        <f>'Long-Run Projections'!P49</f>
        <v>621.58519349999995</v>
      </c>
      <c r="Q38" s="3">
        <f t="shared" ref="Q38:Q41" si="45">AVERAGE(F38:O38)</f>
        <v>621.58519349999995</v>
      </c>
      <c r="R38" s="3">
        <f t="shared" ref="R38:R41" si="46">STDEV(F38:O38)</f>
        <v>0</v>
      </c>
    </row>
    <row r="39" spans="2:20" x14ac:dyDescent="0.25">
      <c r="C39" t="s">
        <v>49</v>
      </c>
      <c r="F39" s="3">
        <f>F37-F38</f>
        <v>314.21480650000001</v>
      </c>
      <c r="G39" s="3">
        <f t="shared" ref="G39:O39" si="47">G37-G38</f>
        <v>267.41480650000005</v>
      </c>
      <c r="H39" s="3">
        <f t="shared" si="47"/>
        <v>275.81480650000015</v>
      </c>
      <c r="I39" s="3">
        <f t="shared" si="47"/>
        <v>284.21480650000012</v>
      </c>
      <c r="J39" s="3">
        <f t="shared" si="47"/>
        <v>292.6148065000001</v>
      </c>
      <c r="K39" s="3">
        <f t="shared" si="47"/>
        <v>301.01480650000008</v>
      </c>
      <c r="L39" s="3">
        <f t="shared" si="47"/>
        <v>309.41480650000005</v>
      </c>
      <c r="M39" s="3">
        <f t="shared" si="47"/>
        <v>317.81480650000015</v>
      </c>
      <c r="N39" s="3">
        <f t="shared" si="47"/>
        <v>326.21480650000012</v>
      </c>
      <c r="O39" s="3">
        <f t="shared" si="47"/>
        <v>334.6148065000001</v>
      </c>
      <c r="Q39" s="3">
        <f t="shared" si="45"/>
        <v>302.33480650000013</v>
      </c>
      <c r="R39" s="3">
        <f t="shared" si="46"/>
        <v>22.086738102309265</v>
      </c>
    </row>
    <row r="40" spans="2:20" x14ac:dyDescent="0.25">
      <c r="C40" t="s">
        <v>81</v>
      </c>
      <c r="F40" s="3">
        <f>'Long-Run Projections'!G63+'Long-Run Projections'!G77</f>
        <v>403.49</v>
      </c>
      <c r="G40" s="3">
        <f>'Long-Run Projections'!H63+'Long-Run Projections'!H77</f>
        <v>403.49</v>
      </c>
      <c r="H40" s="3">
        <f>'Long-Run Projections'!I63+'Long-Run Projections'!I77</f>
        <v>403.49</v>
      </c>
      <c r="I40" s="3">
        <f>'Long-Run Projections'!J63+'Long-Run Projections'!J77</f>
        <v>403.49</v>
      </c>
      <c r="J40" s="3">
        <f>'Long-Run Projections'!K63+'Long-Run Projections'!K77</f>
        <v>403.49</v>
      </c>
      <c r="K40" s="3">
        <f>'Long-Run Projections'!L63+'Long-Run Projections'!L77</f>
        <v>403.49</v>
      </c>
      <c r="L40" s="3">
        <f>'Long-Run Projections'!M63+'Long-Run Projections'!M77</f>
        <v>403.49</v>
      </c>
      <c r="M40" s="3">
        <f>'Long-Run Projections'!N63+'Long-Run Projections'!N77</f>
        <v>403.49</v>
      </c>
      <c r="N40" s="3">
        <f>'Long-Run Projections'!O63+'Long-Run Projections'!O77</f>
        <v>403.49</v>
      </c>
      <c r="O40" s="3">
        <f>'Long-Run Projections'!P63+'Long-Run Projections'!P77</f>
        <v>403.49</v>
      </c>
      <c r="Q40" s="3">
        <f t="shared" si="45"/>
        <v>403.48999999999995</v>
      </c>
      <c r="R40" s="3">
        <f t="shared" si="46"/>
        <v>5.9918224530375701E-14</v>
      </c>
    </row>
    <row r="41" spans="2:20" x14ac:dyDescent="0.25">
      <c r="C41" t="s">
        <v>50</v>
      </c>
      <c r="F41" s="3">
        <f>F39-F40</f>
        <v>-89.2751935</v>
      </c>
      <c r="G41" s="3">
        <f t="shared" ref="G41:O41" si="48">G39-G40</f>
        <v>-136.07519349999995</v>
      </c>
      <c r="H41" s="3">
        <f t="shared" si="48"/>
        <v>-127.67519349999986</v>
      </c>
      <c r="I41" s="3">
        <f t="shared" si="48"/>
        <v>-119.27519349999989</v>
      </c>
      <c r="J41" s="3">
        <f t="shared" si="48"/>
        <v>-110.87519349999991</v>
      </c>
      <c r="K41" s="3">
        <f t="shared" si="48"/>
        <v>-102.47519349999993</v>
      </c>
      <c r="L41" s="3">
        <f t="shared" si="48"/>
        <v>-94.075193499999955</v>
      </c>
      <c r="M41" s="3">
        <f t="shared" si="48"/>
        <v>-85.675193499999864</v>
      </c>
      <c r="N41" s="3">
        <f t="shared" si="48"/>
        <v>-77.275193499999887</v>
      </c>
      <c r="O41" s="3">
        <f t="shared" si="48"/>
        <v>-68.875193499999909</v>
      </c>
      <c r="Q41" s="3">
        <f t="shared" si="45"/>
        <v>-101.15519349999991</v>
      </c>
      <c r="R41" s="3">
        <f t="shared" si="46"/>
        <v>22.086738102309262</v>
      </c>
    </row>
    <row r="42" spans="2:20" x14ac:dyDescent="0.25">
      <c r="F42" s="3"/>
      <c r="G42" s="3"/>
      <c r="H42" s="3"/>
      <c r="I42" s="3"/>
      <c r="J42" s="3"/>
      <c r="K42" s="3"/>
      <c r="L42" s="3"/>
      <c r="M42" s="3"/>
      <c r="N42" s="3"/>
      <c r="O42" s="3"/>
      <c r="Q42" s="3"/>
      <c r="R42" s="3"/>
    </row>
    <row r="43" spans="2:20" x14ac:dyDescent="0.25">
      <c r="C43" t="s">
        <v>86</v>
      </c>
      <c r="F43" s="3">
        <f>F41+'Long-Run Projections'!G77</f>
        <v>165.7248065</v>
      </c>
      <c r="G43" s="3">
        <f>G41+'Long-Run Projections'!H77</f>
        <v>118.92480650000005</v>
      </c>
      <c r="H43" s="3">
        <f>H41+'Long-Run Projections'!I77</f>
        <v>127.32480650000014</v>
      </c>
      <c r="I43" s="3">
        <f>I41+'Long-Run Projections'!J77</f>
        <v>135.72480650000011</v>
      </c>
      <c r="J43" s="3">
        <f>J41+'Long-Run Projections'!K77</f>
        <v>144.12480650000009</v>
      </c>
      <c r="K43" s="3">
        <f>K41+'Long-Run Projections'!L77</f>
        <v>152.52480650000007</v>
      </c>
      <c r="L43" s="3">
        <f>L41+'Long-Run Projections'!M77</f>
        <v>160.92480650000005</v>
      </c>
      <c r="M43" s="3">
        <f>M41+'Long-Run Projections'!N77</f>
        <v>169.32480650000014</v>
      </c>
      <c r="N43" s="3">
        <f>N41+'Long-Run Projections'!O77</f>
        <v>177.72480650000011</v>
      </c>
      <c r="O43" s="3">
        <f>O41+'Long-Run Projections'!P77</f>
        <v>186.12480650000009</v>
      </c>
      <c r="Q43" s="3">
        <f t="shared" ref="Q43" si="49">AVERAGE(F43:O43)</f>
        <v>153.84480650000009</v>
      </c>
      <c r="R43" s="3">
        <f t="shared" ref="R43" si="50">STDEV(F43:O43)</f>
        <v>22.086738102309116</v>
      </c>
      <c r="T43" s="33"/>
    </row>
    <row r="45" spans="2:20" x14ac:dyDescent="0.25">
      <c r="B45" t="s">
        <v>105</v>
      </c>
      <c r="F45" s="1"/>
    </row>
    <row r="47" spans="2:20" x14ac:dyDescent="0.25">
      <c r="C47" t="s">
        <v>78</v>
      </c>
      <c r="F47" s="3">
        <f>('Long-Run Projections'!G8*'Long-Run Projections'!G22)+('Long-Run Projections'!G36)</f>
        <v>713</v>
      </c>
      <c r="G47" s="3">
        <f>('Long-Run Projections'!H8*'Long-Run Projections'!H22)+('Long-Run Projections'!H36)</f>
        <v>662.30000000000007</v>
      </c>
      <c r="H47" s="3">
        <f>('Long-Run Projections'!I8*'Long-Run Projections'!I22)+('Long-Run Projections'!I36)</f>
        <v>667.5</v>
      </c>
      <c r="I47" s="3">
        <f>('Long-Run Projections'!J8*'Long-Run Projections'!J22)+('Long-Run Projections'!J36)</f>
        <v>672.7</v>
      </c>
      <c r="J47" s="3">
        <f>('Long-Run Projections'!K8*'Long-Run Projections'!K22)+('Long-Run Projections'!K36)</f>
        <v>677.90000000000009</v>
      </c>
      <c r="K47" s="3">
        <f>('Long-Run Projections'!L8*'Long-Run Projections'!L22)+('Long-Run Projections'!L36)</f>
        <v>683.1</v>
      </c>
      <c r="L47" s="3">
        <f>('Long-Run Projections'!M8*'Long-Run Projections'!M22)+('Long-Run Projections'!M36)</f>
        <v>688.30000000000007</v>
      </c>
      <c r="M47" s="3">
        <f>('Long-Run Projections'!N8*'Long-Run Projections'!N22)+('Long-Run Projections'!N36)</f>
        <v>693.5</v>
      </c>
      <c r="N47" s="3">
        <f>('Long-Run Projections'!O8*'Long-Run Projections'!O22)+('Long-Run Projections'!O36)</f>
        <v>698.7</v>
      </c>
      <c r="O47" s="3">
        <f>('Long-Run Projections'!P8*'Long-Run Projections'!P22)+('Long-Run Projections'!P36)</f>
        <v>703.90000000000009</v>
      </c>
      <c r="Q47" s="3">
        <f>AVERAGE(F47:O47)</f>
        <v>686.08999999999992</v>
      </c>
      <c r="R47" s="3">
        <f>STDEV(F47:O47)</f>
        <v>16.421561030141639</v>
      </c>
    </row>
    <row r="48" spans="2:20" x14ac:dyDescent="0.25">
      <c r="C48" t="s">
        <v>80</v>
      </c>
      <c r="F48" s="3">
        <f>'Long-Run Projections'!G50</f>
        <v>327.20808149999999</v>
      </c>
      <c r="G48" s="3">
        <f>'Long-Run Projections'!H50</f>
        <v>327.20808149999999</v>
      </c>
      <c r="H48" s="3">
        <f>'Long-Run Projections'!I50</f>
        <v>327.20808149999999</v>
      </c>
      <c r="I48" s="3">
        <f>'Long-Run Projections'!J50</f>
        <v>327.20808149999999</v>
      </c>
      <c r="J48" s="3">
        <f>'Long-Run Projections'!K50</f>
        <v>327.20808149999999</v>
      </c>
      <c r="K48" s="3">
        <f>'Long-Run Projections'!L50</f>
        <v>327.20808149999999</v>
      </c>
      <c r="L48" s="3">
        <f>'Long-Run Projections'!M50</f>
        <v>327.20808149999999</v>
      </c>
      <c r="M48" s="3">
        <f>'Long-Run Projections'!N50</f>
        <v>327.20808149999999</v>
      </c>
      <c r="N48" s="3">
        <f>'Long-Run Projections'!O50</f>
        <v>327.20808149999999</v>
      </c>
      <c r="O48" s="3">
        <f>'Long-Run Projections'!P50</f>
        <v>327.20808149999999</v>
      </c>
      <c r="Q48" s="3">
        <f t="shared" ref="Q48:Q51" si="51">AVERAGE(F48:O48)</f>
        <v>327.20808149999999</v>
      </c>
      <c r="R48" s="3">
        <f t="shared" ref="R48:R51" si="52">STDEV(F48:O48)</f>
        <v>0</v>
      </c>
    </row>
    <row r="49" spans="2:20" x14ac:dyDescent="0.25">
      <c r="C49" t="s">
        <v>49</v>
      </c>
      <c r="F49" s="3">
        <f>F47-F48</f>
        <v>385.79191850000001</v>
      </c>
      <c r="G49" s="3">
        <f t="shared" ref="G49:O49" si="53">G47-G48</f>
        <v>335.09191850000008</v>
      </c>
      <c r="H49" s="3">
        <f t="shared" si="53"/>
        <v>340.29191850000001</v>
      </c>
      <c r="I49" s="3">
        <f t="shared" si="53"/>
        <v>345.49191850000005</v>
      </c>
      <c r="J49" s="3">
        <f t="shared" si="53"/>
        <v>350.6919185000001</v>
      </c>
      <c r="K49" s="3">
        <f t="shared" si="53"/>
        <v>355.89191850000003</v>
      </c>
      <c r="L49" s="3">
        <f t="shared" si="53"/>
        <v>361.09191850000008</v>
      </c>
      <c r="M49" s="3">
        <f t="shared" si="53"/>
        <v>366.29191850000001</v>
      </c>
      <c r="N49" s="3">
        <f t="shared" si="53"/>
        <v>371.49191850000005</v>
      </c>
      <c r="O49" s="3">
        <f t="shared" si="53"/>
        <v>376.6919185000001</v>
      </c>
      <c r="Q49" s="3">
        <f t="shared" si="51"/>
        <v>358.8819185000001</v>
      </c>
      <c r="R49" s="3">
        <f t="shared" si="52"/>
        <v>16.421561030141639</v>
      </c>
    </row>
    <row r="50" spans="2:20" x14ac:dyDescent="0.25">
      <c r="C50" t="s">
        <v>81</v>
      </c>
      <c r="F50" s="3">
        <f>'Long-Run Projections'!G64+'Long-Run Projections'!G78</f>
        <v>379.9</v>
      </c>
      <c r="G50" s="3">
        <f>'Long-Run Projections'!H64+'Long-Run Projections'!H78</f>
        <v>379.9</v>
      </c>
      <c r="H50" s="3">
        <f>'Long-Run Projections'!I64+'Long-Run Projections'!I78</f>
        <v>379.9</v>
      </c>
      <c r="I50" s="3">
        <f>'Long-Run Projections'!J64+'Long-Run Projections'!J78</f>
        <v>379.9</v>
      </c>
      <c r="J50" s="3">
        <f>'Long-Run Projections'!K64+'Long-Run Projections'!K78</f>
        <v>379.9</v>
      </c>
      <c r="K50" s="3">
        <f>'Long-Run Projections'!L64+'Long-Run Projections'!L78</f>
        <v>379.9</v>
      </c>
      <c r="L50" s="3">
        <f>'Long-Run Projections'!M64+'Long-Run Projections'!M78</f>
        <v>379.9</v>
      </c>
      <c r="M50" s="3">
        <f>'Long-Run Projections'!N64+'Long-Run Projections'!N78</f>
        <v>379.9</v>
      </c>
      <c r="N50" s="3">
        <f>'Long-Run Projections'!O64+'Long-Run Projections'!O78</f>
        <v>379.9</v>
      </c>
      <c r="O50" s="3">
        <f>'Long-Run Projections'!P64+'Long-Run Projections'!P78</f>
        <v>379.9</v>
      </c>
      <c r="Q50" s="3">
        <f t="shared" si="51"/>
        <v>379.90000000000003</v>
      </c>
      <c r="R50" s="3">
        <f t="shared" si="52"/>
        <v>5.9918224530375701E-14</v>
      </c>
    </row>
    <row r="51" spans="2:20" x14ac:dyDescent="0.25">
      <c r="C51" t="s">
        <v>50</v>
      </c>
      <c r="F51" s="3">
        <f>F49-F50</f>
        <v>5.8919185000000311</v>
      </c>
      <c r="G51" s="3">
        <f t="shared" ref="G51:O51" si="54">G49-G50</f>
        <v>-44.808081499999901</v>
      </c>
      <c r="H51" s="3">
        <f t="shared" si="54"/>
        <v>-39.608081499999969</v>
      </c>
      <c r="I51" s="3">
        <f t="shared" si="54"/>
        <v>-34.408081499999923</v>
      </c>
      <c r="J51" s="3">
        <f t="shared" si="54"/>
        <v>-29.208081499999878</v>
      </c>
      <c r="K51" s="3">
        <f t="shared" si="54"/>
        <v>-24.008081499999946</v>
      </c>
      <c r="L51" s="3">
        <f t="shared" si="54"/>
        <v>-18.808081499999901</v>
      </c>
      <c r="M51" s="3">
        <f t="shared" si="54"/>
        <v>-13.608081499999969</v>
      </c>
      <c r="N51" s="3">
        <f t="shared" si="54"/>
        <v>-8.4080814999999234</v>
      </c>
      <c r="O51" s="3">
        <f t="shared" si="54"/>
        <v>-3.2080814999998779</v>
      </c>
      <c r="Q51" s="3">
        <f t="shared" si="51"/>
        <v>-21.018081499999926</v>
      </c>
      <c r="R51" s="3">
        <f t="shared" si="52"/>
        <v>16.421561030141639</v>
      </c>
    </row>
    <row r="52" spans="2:20" x14ac:dyDescent="0.25">
      <c r="F52" s="3"/>
      <c r="G52" s="3"/>
      <c r="H52" s="3"/>
      <c r="I52" s="3"/>
      <c r="J52" s="3"/>
      <c r="K52" s="3"/>
      <c r="L52" s="3"/>
      <c r="M52" s="3"/>
      <c r="N52" s="3"/>
      <c r="O52" s="3"/>
      <c r="Q52" s="3"/>
      <c r="R52" s="3"/>
    </row>
    <row r="53" spans="2:20" x14ac:dyDescent="0.25">
      <c r="C53" t="s">
        <v>86</v>
      </c>
      <c r="F53" s="3">
        <f>F51+'Long-Run Projections'!G78</f>
        <v>260.89191850000003</v>
      </c>
      <c r="G53" s="3">
        <f>G51+'Long-Run Projections'!H78</f>
        <v>210.1919185000001</v>
      </c>
      <c r="H53" s="3">
        <f>H51+'Long-Run Projections'!I78</f>
        <v>215.39191850000003</v>
      </c>
      <c r="I53" s="3">
        <f>I51+'Long-Run Projections'!J78</f>
        <v>220.59191850000008</v>
      </c>
      <c r="J53" s="3">
        <f>J51+'Long-Run Projections'!K78</f>
        <v>225.79191850000012</v>
      </c>
      <c r="K53" s="3">
        <f>K51+'Long-Run Projections'!L78</f>
        <v>230.99191850000005</v>
      </c>
      <c r="L53" s="3">
        <f>L51+'Long-Run Projections'!M78</f>
        <v>236.1919185000001</v>
      </c>
      <c r="M53" s="3">
        <f>M51+'Long-Run Projections'!N78</f>
        <v>241.39191850000003</v>
      </c>
      <c r="N53" s="3">
        <f>N51+'Long-Run Projections'!O78</f>
        <v>246.59191850000008</v>
      </c>
      <c r="O53" s="3">
        <f>O51+'Long-Run Projections'!P78</f>
        <v>251.79191850000012</v>
      </c>
      <c r="Q53" s="3">
        <f t="shared" ref="Q53" si="55">AVERAGE(F53:O53)</f>
        <v>233.98191850000006</v>
      </c>
      <c r="R53" s="3">
        <f t="shared" ref="R53" si="56">STDEV(F53:O53)</f>
        <v>16.421561030141639</v>
      </c>
      <c r="T53" s="33"/>
    </row>
    <row r="55" spans="2:20" x14ac:dyDescent="0.25">
      <c r="B55" t="s">
        <v>149</v>
      </c>
      <c r="F55" s="1"/>
    </row>
    <row r="57" spans="2:20" x14ac:dyDescent="0.25">
      <c r="C57" t="s">
        <v>78</v>
      </c>
      <c r="F57" s="3">
        <f>('Long-Run Projections'!G9*'Long-Run Projections'!G23)+('Long-Run Projections'!G37)</f>
        <v>501.50000000000006</v>
      </c>
      <c r="G57" s="3">
        <f>('Long-Run Projections'!H9*'Long-Run Projections'!H23)+('Long-Run Projections'!H37)</f>
        <v>480.62499999999994</v>
      </c>
      <c r="H57" s="3">
        <f>('Long-Run Projections'!I9*'Long-Run Projections'!I23)+('Long-Run Projections'!I37)</f>
        <v>482.5499999999999</v>
      </c>
      <c r="I57" s="3">
        <f>('Long-Run Projections'!J9*'Long-Run Projections'!J23)+('Long-Run Projections'!J37)</f>
        <v>484.47499999999991</v>
      </c>
      <c r="J57" s="3">
        <f>('Long-Run Projections'!K9*'Long-Run Projections'!K23)+('Long-Run Projections'!K37)</f>
        <v>486.39999999999986</v>
      </c>
      <c r="K57" s="3">
        <f>('Long-Run Projections'!L9*'Long-Run Projections'!L23)+('Long-Run Projections'!L37)</f>
        <v>488.32499999999982</v>
      </c>
      <c r="L57" s="3">
        <f>('Long-Run Projections'!M9*'Long-Run Projections'!M23)+('Long-Run Projections'!M37)</f>
        <v>490.24999999999983</v>
      </c>
      <c r="M57" s="3">
        <f>('Long-Run Projections'!N9*'Long-Run Projections'!N23)+('Long-Run Projections'!N37)</f>
        <v>492.17499999999978</v>
      </c>
      <c r="N57" s="3">
        <f>('Long-Run Projections'!O9*'Long-Run Projections'!O23)+('Long-Run Projections'!O37)</f>
        <v>494.09999999999974</v>
      </c>
      <c r="O57" s="3">
        <f>('Long-Run Projections'!P9*'Long-Run Projections'!P23)+('Long-Run Projections'!P37)</f>
        <v>496.02499999999969</v>
      </c>
      <c r="Q57" s="3">
        <f>AVERAGE(F57:O57)</f>
        <v>489.64249999999981</v>
      </c>
      <c r="R57" s="3">
        <f>STDEV(F57:O57)</f>
        <v>6.4855400057872208</v>
      </c>
    </row>
    <row r="58" spans="2:20" x14ac:dyDescent="0.25">
      <c r="C58" t="s">
        <v>80</v>
      </c>
      <c r="F58" s="3">
        <f>'Long-Run Projections'!G51</f>
        <v>241.4486</v>
      </c>
      <c r="G58" s="3">
        <f>'Long-Run Projections'!H51</f>
        <v>241.4486</v>
      </c>
      <c r="H58" s="3">
        <f>'Long-Run Projections'!I51</f>
        <v>241.4486</v>
      </c>
      <c r="I58" s="3">
        <f>'Long-Run Projections'!J51</f>
        <v>241.4486</v>
      </c>
      <c r="J58" s="3">
        <f>'Long-Run Projections'!K51</f>
        <v>241.4486</v>
      </c>
      <c r="K58" s="3">
        <f>'Long-Run Projections'!L51</f>
        <v>241.4486</v>
      </c>
      <c r="L58" s="3">
        <f>'Long-Run Projections'!M51</f>
        <v>241.4486</v>
      </c>
      <c r="M58" s="3">
        <f>'Long-Run Projections'!N51</f>
        <v>241.4486</v>
      </c>
      <c r="N58" s="3">
        <f>'Long-Run Projections'!O51</f>
        <v>241.4486</v>
      </c>
      <c r="O58" s="3">
        <f>'Long-Run Projections'!P51</f>
        <v>241.4486</v>
      </c>
      <c r="Q58" s="3">
        <f t="shared" ref="Q58:Q61" si="57">AVERAGE(F58:O58)</f>
        <v>241.4486</v>
      </c>
      <c r="R58" s="3">
        <f t="shared" ref="R58:R61" si="58">STDEV(F58:O58)</f>
        <v>0</v>
      </c>
    </row>
    <row r="59" spans="2:20" x14ac:dyDescent="0.25">
      <c r="C59" t="s">
        <v>49</v>
      </c>
      <c r="F59" s="3">
        <f>F57-F58</f>
        <v>260.05140000000006</v>
      </c>
      <c r="G59" s="3">
        <f t="shared" ref="G59:O59" si="59">G57-G58</f>
        <v>239.17639999999994</v>
      </c>
      <c r="H59" s="3">
        <f t="shared" si="59"/>
        <v>241.1013999999999</v>
      </c>
      <c r="I59" s="3">
        <f t="shared" si="59"/>
        <v>243.02639999999991</v>
      </c>
      <c r="J59" s="3">
        <f t="shared" si="59"/>
        <v>244.95139999999986</v>
      </c>
      <c r="K59" s="3">
        <f t="shared" si="59"/>
        <v>246.87639999999982</v>
      </c>
      <c r="L59" s="3">
        <f t="shared" si="59"/>
        <v>248.80139999999983</v>
      </c>
      <c r="M59" s="3">
        <f t="shared" si="59"/>
        <v>250.72639999999978</v>
      </c>
      <c r="N59" s="3">
        <f t="shared" si="59"/>
        <v>252.65139999999974</v>
      </c>
      <c r="O59" s="3">
        <f t="shared" si="59"/>
        <v>254.57639999999969</v>
      </c>
      <c r="Q59" s="3">
        <f t="shared" si="57"/>
        <v>248.19389999999984</v>
      </c>
      <c r="R59" s="3">
        <f t="shared" si="58"/>
        <v>6.4855400057872208</v>
      </c>
    </row>
    <row r="60" spans="2:20" x14ac:dyDescent="0.25">
      <c r="C60" t="s">
        <v>81</v>
      </c>
      <c r="F60" s="3">
        <f>'Long-Run Projections'!G65+'Long-Run Projections'!G79</f>
        <v>375.47402</v>
      </c>
      <c r="G60" s="3">
        <f>'Long-Run Projections'!H65+'Long-Run Projections'!H79</f>
        <v>375.47402</v>
      </c>
      <c r="H60" s="3">
        <f>'Long-Run Projections'!I65+'Long-Run Projections'!I79</f>
        <v>375.47402</v>
      </c>
      <c r="I60" s="3">
        <f>'Long-Run Projections'!J65+'Long-Run Projections'!J79</f>
        <v>375.47402</v>
      </c>
      <c r="J60" s="3">
        <f>'Long-Run Projections'!K65+'Long-Run Projections'!K79</f>
        <v>375.47402</v>
      </c>
      <c r="K60" s="3">
        <f>'Long-Run Projections'!L65+'Long-Run Projections'!L79</f>
        <v>375.47402</v>
      </c>
      <c r="L60" s="3">
        <f>'Long-Run Projections'!M65+'Long-Run Projections'!M79</f>
        <v>375.47402</v>
      </c>
      <c r="M60" s="3">
        <f>'Long-Run Projections'!N65+'Long-Run Projections'!N79</f>
        <v>375.47402</v>
      </c>
      <c r="N60" s="3">
        <f>'Long-Run Projections'!O65+'Long-Run Projections'!O79</f>
        <v>375.47402</v>
      </c>
      <c r="O60" s="3">
        <f>'Long-Run Projections'!P65+'Long-Run Projections'!P79</f>
        <v>375.47402</v>
      </c>
      <c r="Q60" s="3">
        <f t="shared" si="57"/>
        <v>375.47402000000005</v>
      </c>
      <c r="R60" s="3">
        <f t="shared" si="58"/>
        <v>5.9918224530375701E-14</v>
      </c>
    </row>
    <row r="61" spans="2:20" x14ac:dyDescent="0.25">
      <c r="C61" t="s">
        <v>50</v>
      </c>
      <c r="F61" s="3">
        <f>F59-F60</f>
        <v>-115.42261999999994</v>
      </c>
      <c r="G61" s="3">
        <f t="shared" ref="G61:O61" si="60">G59-G60</f>
        <v>-136.29762000000005</v>
      </c>
      <c r="H61" s="3">
        <f t="shared" si="60"/>
        <v>-134.3726200000001</v>
      </c>
      <c r="I61" s="3">
        <f t="shared" si="60"/>
        <v>-132.44762000000009</v>
      </c>
      <c r="J61" s="3">
        <f t="shared" si="60"/>
        <v>-130.52262000000013</v>
      </c>
      <c r="K61" s="3">
        <f t="shared" si="60"/>
        <v>-128.59762000000018</v>
      </c>
      <c r="L61" s="3">
        <f t="shared" si="60"/>
        <v>-126.67262000000017</v>
      </c>
      <c r="M61" s="3">
        <f t="shared" si="60"/>
        <v>-124.74762000000021</v>
      </c>
      <c r="N61" s="3">
        <f t="shared" si="60"/>
        <v>-122.82262000000026</v>
      </c>
      <c r="O61" s="3">
        <f t="shared" si="60"/>
        <v>-120.8976200000003</v>
      </c>
      <c r="Q61" s="3">
        <f t="shared" si="57"/>
        <v>-127.28012000000012</v>
      </c>
      <c r="R61" s="3">
        <f t="shared" si="58"/>
        <v>6.4855400057872199</v>
      </c>
    </row>
    <row r="62" spans="2:20" x14ac:dyDescent="0.25">
      <c r="F62" s="3"/>
      <c r="G62" s="3"/>
      <c r="H62" s="3"/>
      <c r="I62" s="3"/>
      <c r="J62" s="3"/>
      <c r="K62" s="3"/>
      <c r="L62" s="3"/>
      <c r="M62" s="3"/>
      <c r="N62" s="3"/>
      <c r="O62" s="3"/>
      <c r="Q62" s="3"/>
      <c r="R62" s="3"/>
    </row>
    <row r="63" spans="2:20" x14ac:dyDescent="0.25">
      <c r="C63" t="s">
        <v>86</v>
      </c>
      <c r="F63" s="3">
        <f>F61+'Long-Run Projections'!G79</f>
        <v>139.57738000000006</v>
      </c>
      <c r="G63" s="3">
        <f>G61+'Long-Run Projections'!H79</f>
        <v>118.70237999999995</v>
      </c>
      <c r="H63" s="3">
        <f>H61+'Long-Run Projections'!I79</f>
        <v>120.6273799999999</v>
      </c>
      <c r="I63" s="3">
        <f>I61+'Long-Run Projections'!J79</f>
        <v>122.55237999999991</v>
      </c>
      <c r="J63" s="3">
        <f>J61+'Long-Run Projections'!K79</f>
        <v>124.47737999999987</v>
      </c>
      <c r="K63" s="3">
        <f>K61+'Long-Run Projections'!L79</f>
        <v>126.40237999999982</v>
      </c>
      <c r="L63" s="3">
        <f>L61+'Long-Run Projections'!M79</f>
        <v>128.32737999999983</v>
      </c>
      <c r="M63" s="3">
        <f>M61+'Long-Run Projections'!N79</f>
        <v>130.25237999999979</v>
      </c>
      <c r="N63" s="3">
        <f>N61+'Long-Run Projections'!O79</f>
        <v>132.17737999999974</v>
      </c>
      <c r="O63" s="3">
        <f>O61+'Long-Run Projections'!P79</f>
        <v>134.1023799999997</v>
      </c>
      <c r="Q63" s="3">
        <f t="shared" ref="Q63" si="61">AVERAGE(F63:O63)</f>
        <v>127.71987999999988</v>
      </c>
      <c r="R63" s="3">
        <f t="shared" ref="R63" si="62">STDEV(F63:O63)</f>
        <v>6.4855400057872199</v>
      </c>
      <c r="T63" s="33"/>
    </row>
    <row r="65" spans="2:20" x14ac:dyDescent="0.25">
      <c r="B65" s="27" t="s">
        <v>152</v>
      </c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2:20" x14ac:dyDescent="0.25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</row>
    <row r="67" spans="2:20" x14ac:dyDescent="0.25">
      <c r="B67" s="27"/>
      <c r="C67" s="27" t="s">
        <v>88</v>
      </c>
      <c r="D67" s="27"/>
      <c r="E67" s="27"/>
      <c r="F67" s="28">
        <f>AVERAGE(F37, F47, F57)</f>
        <v>716.76666666666677</v>
      </c>
      <c r="G67" s="28">
        <f t="shared" ref="G67:O67" si="63">AVERAGE(G37, G47, G57)</f>
        <v>677.30833333333339</v>
      </c>
      <c r="H67" s="28">
        <f t="shared" si="63"/>
        <v>682.48333333333335</v>
      </c>
      <c r="I67" s="28">
        <f t="shared" si="63"/>
        <v>687.6583333333333</v>
      </c>
      <c r="J67" s="28">
        <f t="shared" si="63"/>
        <v>692.83333333333337</v>
      </c>
      <c r="K67" s="28">
        <f t="shared" si="63"/>
        <v>698.00833333333321</v>
      </c>
      <c r="L67" s="28">
        <f t="shared" si="63"/>
        <v>703.18333333333339</v>
      </c>
      <c r="M67" s="28">
        <f t="shared" si="63"/>
        <v>708.35833333333323</v>
      </c>
      <c r="N67" s="28">
        <f t="shared" si="63"/>
        <v>713.5333333333333</v>
      </c>
      <c r="O67" s="28">
        <f t="shared" si="63"/>
        <v>718.70833333333337</v>
      </c>
      <c r="P67" s="27"/>
      <c r="Q67" s="28">
        <f t="shared" ref="Q67:Q71" si="64">AVERAGE(F67:O67)</f>
        <v>699.8841666666666</v>
      </c>
      <c r="R67" s="28">
        <f t="shared" ref="R67:R71" si="65">STDEV(F67:O67)</f>
        <v>14.619336747761318</v>
      </c>
    </row>
    <row r="68" spans="2:20" x14ac:dyDescent="0.25">
      <c r="B68" s="27"/>
      <c r="C68" s="27" t="s">
        <v>80</v>
      </c>
      <c r="D68" s="27"/>
      <c r="E68" s="27"/>
      <c r="F68" s="28">
        <f>AVERAGE(F38, F48, F58)</f>
        <v>396.74729166666663</v>
      </c>
      <c r="G68" s="28">
        <f t="shared" ref="G68:O68" si="66">AVERAGE(G38, G48, G58)</f>
        <v>396.74729166666663</v>
      </c>
      <c r="H68" s="28">
        <f t="shared" si="66"/>
        <v>396.74729166666663</v>
      </c>
      <c r="I68" s="28">
        <f t="shared" si="66"/>
        <v>396.74729166666663</v>
      </c>
      <c r="J68" s="28">
        <f t="shared" si="66"/>
        <v>396.74729166666663</v>
      </c>
      <c r="K68" s="28">
        <f t="shared" si="66"/>
        <v>396.74729166666663</v>
      </c>
      <c r="L68" s="28">
        <f t="shared" si="66"/>
        <v>396.74729166666663</v>
      </c>
      <c r="M68" s="28">
        <f t="shared" si="66"/>
        <v>396.74729166666663</v>
      </c>
      <c r="N68" s="28">
        <f t="shared" si="66"/>
        <v>396.74729166666663</v>
      </c>
      <c r="O68" s="28">
        <f t="shared" si="66"/>
        <v>396.74729166666663</v>
      </c>
      <c r="P68" s="27"/>
      <c r="Q68" s="28">
        <f t="shared" si="64"/>
        <v>396.74729166666663</v>
      </c>
      <c r="R68" s="28">
        <f t="shared" si="65"/>
        <v>0</v>
      </c>
    </row>
    <row r="69" spans="2:20" x14ac:dyDescent="0.25">
      <c r="B69" s="27"/>
      <c r="C69" s="27" t="s">
        <v>49</v>
      </c>
      <c r="D69" s="27"/>
      <c r="E69" s="27"/>
      <c r="F69" s="28">
        <f>AVERAGE(F39, F49, F59)</f>
        <v>320.01937500000003</v>
      </c>
      <c r="G69" s="28">
        <f t="shared" ref="G69:O69" si="67">AVERAGE(G39, G49, G59)</f>
        <v>280.56104166666671</v>
      </c>
      <c r="H69" s="28">
        <f t="shared" si="67"/>
        <v>285.73604166666667</v>
      </c>
      <c r="I69" s="28">
        <f t="shared" si="67"/>
        <v>290.91104166666673</v>
      </c>
      <c r="J69" s="28">
        <f t="shared" si="67"/>
        <v>296.08604166666669</v>
      </c>
      <c r="K69" s="28">
        <f t="shared" si="67"/>
        <v>301.26104166666664</v>
      </c>
      <c r="L69" s="28">
        <f t="shared" si="67"/>
        <v>306.43604166666665</v>
      </c>
      <c r="M69" s="28">
        <f t="shared" si="67"/>
        <v>311.61104166666661</v>
      </c>
      <c r="N69" s="28">
        <f t="shared" si="67"/>
        <v>316.78604166666668</v>
      </c>
      <c r="O69" s="28">
        <f t="shared" si="67"/>
        <v>321.96104166666663</v>
      </c>
      <c r="P69" s="27"/>
      <c r="Q69" s="28">
        <f t="shared" si="64"/>
        <v>303.13687499999997</v>
      </c>
      <c r="R69" s="28">
        <f t="shared" si="65"/>
        <v>14.619336747761297</v>
      </c>
    </row>
    <row r="70" spans="2:20" x14ac:dyDescent="0.25">
      <c r="B70" s="27"/>
      <c r="C70" s="27" t="s">
        <v>81</v>
      </c>
      <c r="D70" s="27"/>
      <c r="E70" s="27"/>
      <c r="F70" s="28">
        <f>AVERAGE(F40, F50, F60)</f>
        <v>386.28800666666666</v>
      </c>
      <c r="G70" s="28">
        <f t="shared" ref="G70:O70" si="68">AVERAGE(G40, G50, G60)</f>
        <v>386.28800666666666</v>
      </c>
      <c r="H70" s="28">
        <f t="shared" si="68"/>
        <v>386.28800666666666</v>
      </c>
      <c r="I70" s="28">
        <f t="shared" si="68"/>
        <v>386.28800666666666</v>
      </c>
      <c r="J70" s="28">
        <f t="shared" si="68"/>
        <v>386.28800666666666</v>
      </c>
      <c r="K70" s="28">
        <f t="shared" si="68"/>
        <v>386.28800666666666</v>
      </c>
      <c r="L70" s="28">
        <f t="shared" si="68"/>
        <v>386.28800666666666</v>
      </c>
      <c r="M70" s="28">
        <f t="shared" si="68"/>
        <v>386.28800666666666</v>
      </c>
      <c r="N70" s="28">
        <f t="shared" si="68"/>
        <v>386.28800666666666</v>
      </c>
      <c r="O70" s="28">
        <f t="shared" si="68"/>
        <v>386.28800666666666</v>
      </c>
      <c r="P70" s="27"/>
      <c r="Q70" s="28">
        <f t="shared" si="64"/>
        <v>386.28800666666666</v>
      </c>
      <c r="R70" s="28">
        <f t="shared" si="65"/>
        <v>0</v>
      </c>
    </row>
    <row r="71" spans="2:20" x14ac:dyDescent="0.25">
      <c r="B71" s="27"/>
      <c r="C71" s="27" t="s">
        <v>50</v>
      </c>
      <c r="D71" s="27"/>
      <c r="E71" s="27"/>
      <c r="F71" s="28">
        <f>AVERAGE(F41, F51, F61)</f>
        <v>-66.268631666666636</v>
      </c>
      <c r="G71" s="28">
        <f t="shared" ref="G71:O71" si="69">AVERAGE(G41, G51, G61)</f>
        <v>-105.72696499999996</v>
      </c>
      <c r="H71" s="28">
        <f t="shared" si="69"/>
        <v>-100.55196499999998</v>
      </c>
      <c r="I71" s="28">
        <f t="shared" si="69"/>
        <v>-95.37696499999997</v>
      </c>
      <c r="J71" s="28">
        <f t="shared" si="69"/>
        <v>-90.201964999999973</v>
      </c>
      <c r="K71" s="28">
        <f t="shared" si="69"/>
        <v>-85.026965000000018</v>
      </c>
      <c r="L71" s="28">
        <f t="shared" si="69"/>
        <v>-79.851965000000007</v>
      </c>
      <c r="M71" s="28">
        <f t="shared" si="69"/>
        <v>-74.67696500000001</v>
      </c>
      <c r="N71" s="28">
        <f t="shared" si="69"/>
        <v>-69.501965000000027</v>
      </c>
      <c r="O71" s="28">
        <f t="shared" si="69"/>
        <v>-64.32696500000003</v>
      </c>
      <c r="P71" s="27"/>
      <c r="Q71" s="28">
        <f t="shared" si="64"/>
        <v>-83.151131666666657</v>
      </c>
      <c r="R71" s="28">
        <f t="shared" si="65"/>
        <v>14.619336747761389</v>
      </c>
    </row>
    <row r="72" spans="2:20" x14ac:dyDescent="0.25">
      <c r="B72" s="27"/>
      <c r="C72" s="27"/>
      <c r="D72" s="27"/>
      <c r="E72" s="27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7"/>
      <c r="Q72" s="28"/>
      <c r="R72" s="28"/>
    </row>
    <row r="73" spans="2:20" x14ac:dyDescent="0.25">
      <c r="B73" s="27"/>
      <c r="C73" s="27" t="s">
        <v>86</v>
      </c>
      <c r="D73" s="27"/>
      <c r="E73" s="27"/>
      <c r="F73" s="28">
        <f>AVERAGE(F43, F53, F63)</f>
        <v>188.73136833333334</v>
      </c>
      <c r="G73" s="28">
        <f t="shared" ref="G73:O73" si="70">AVERAGE(G43, G53, G63)</f>
        <v>149.27303500000002</v>
      </c>
      <c r="H73" s="28">
        <f t="shared" si="70"/>
        <v>154.44803500000003</v>
      </c>
      <c r="I73" s="28">
        <f t="shared" si="70"/>
        <v>159.62303500000004</v>
      </c>
      <c r="J73" s="28">
        <f t="shared" si="70"/>
        <v>164.79803500000003</v>
      </c>
      <c r="K73" s="28">
        <f t="shared" si="70"/>
        <v>169.97303499999998</v>
      </c>
      <c r="L73" s="28">
        <f t="shared" si="70"/>
        <v>175.14803500000002</v>
      </c>
      <c r="M73" s="28">
        <f t="shared" si="70"/>
        <v>180.32303499999998</v>
      </c>
      <c r="N73" s="28">
        <f t="shared" si="70"/>
        <v>185.49803499999999</v>
      </c>
      <c r="O73" s="28">
        <f t="shared" si="70"/>
        <v>190.67303499999994</v>
      </c>
      <c r="P73" s="27"/>
      <c r="Q73" s="28">
        <f t="shared" ref="Q73" si="71">AVERAGE(F73:O73)</f>
        <v>171.84886833333334</v>
      </c>
      <c r="R73" s="28">
        <f t="shared" ref="R73" si="72">STDEV(F73:O73)</f>
        <v>14.619336747761293</v>
      </c>
      <c r="T73" s="34"/>
    </row>
    <row r="74" spans="2:20" x14ac:dyDescent="0.25">
      <c r="F74" s="39"/>
      <c r="G74" s="39"/>
      <c r="H74" s="39"/>
      <c r="I74" s="39"/>
      <c r="J74" s="39"/>
      <c r="K74" s="39"/>
      <c r="L74" s="39"/>
      <c r="M74" s="39"/>
      <c r="N74" s="39"/>
      <c r="O74" s="39"/>
      <c r="T74" s="40"/>
    </row>
    <row r="75" spans="2:20" x14ac:dyDescent="0.25">
      <c r="B75" t="s">
        <v>79</v>
      </c>
    </row>
    <row r="77" spans="2:20" x14ac:dyDescent="0.25">
      <c r="C77" t="s">
        <v>78</v>
      </c>
      <c r="F77" s="3">
        <f>('Long-Run Projections'!G7*'Long-Run Projections'!G21)+('Long-Run Projections'!G35)</f>
        <v>935.8</v>
      </c>
      <c r="G77" s="3">
        <f>('Long-Run Projections'!H7*'Long-Run Projections'!H21)+('Long-Run Projections'!H35)</f>
        <v>889</v>
      </c>
      <c r="H77" s="3">
        <f>('Long-Run Projections'!I7*'Long-Run Projections'!I21)+('Long-Run Projections'!I35)</f>
        <v>897.40000000000009</v>
      </c>
      <c r="I77" s="3">
        <f>('Long-Run Projections'!J7*'Long-Run Projections'!J21)+('Long-Run Projections'!J35)</f>
        <v>905.80000000000007</v>
      </c>
      <c r="J77" s="3">
        <f>('Long-Run Projections'!K7*'Long-Run Projections'!K21)+('Long-Run Projections'!K35)</f>
        <v>914.2</v>
      </c>
      <c r="K77" s="3">
        <f>('Long-Run Projections'!L7*'Long-Run Projections'!L21)+('Long-Run Projections'!L35)</f>
        <v>922.6</v>
      </c>
      <c r="L77" s="3">
        <f>('Long-Run Projections'!M7*'Long-Run Projections'!M21)+('Long-Run Projections'!M35)</f>
        <v>931</v>
      </c>
      <c r="M77" s="3">
        <f>('Long-Run Projections'!N7*'Long-Run Projections'!N21)+('Long-Run Projections'!N35)</f>
        <v>939.40000000000009</v>
      </c>
      <c r="N77" s="3">
        <f>('Long-Run Projections'!O7*'Long-Run Projections'!O21)+('Long-Run Projections'!O35)</f>
        <v>947.80000000000007</v>
      </c>
      <c r="O77" s="3">
        <f>('Long-Run Projections'!P7*'Long-Run Projections'!P21)+('Long-Run Projections'!P35)</f>
        <v>956.2</v>
      </c>
      <c r="Q77" s="3">
        <f>AVERAGE(F77:O77)</f>
        <v>923.92000000000007</v>
      </c>
      <c r="R77" s="3">
        <f>STDEV(F77:O77)</f>
        <v>22.086738102309265</v>
      </c>
    </row>
    <row r="78" spans="2:20" x14ac:dyDescent="0.25">
      <c r="C78" t="s">
        <v>80</v>
      </c>
      <c r="F78" s="3">
        <f>'Long-Run Projections'!G49</f>
        <v>621.58519349999995</v>
      </c>
      <c r="G78" s="3">
        <f>'Long-Run Projections'!H49</f>
        <v>621.58519349999995</v>
      </c>
      <c r="H78" s="3">
        <f>'Long-Run Projections'!I49</f>
        <v>621.58519349999995</v>
      </c>
      <c r="I78" s="3">
        <f>'Long-Run Projections'!J49</f>
        <v>621.58519349999995</v>
      </c>
      <c r="J78" s="3">
        <f>'Long-Run Projections'!K49</f>
        <v>621.58519349999995</v>
      </c>
      <c r="K78" s="3">
        <f>'Long-Run Projections'!L49</f>
        <v>621.58519349999995</v>
      </c>
      <c r="L78" s="3">
        <f>'Long-Run Projections'!M49</f>
        <v>621.58519349999995</v>
      </c>
      <c r="M78" s="3">
        <f>'Long-Run Projections'!N49</f>
        <v>621.58519349999995</v>
      </c>
      <c r="N78" s="3">
        <f>'Long-Run Projections'!O49</f>
        <v>621.58519349999995</v>
      </c>
      <c r="O78" s="3">
        <f>'Long-Run Projections'!P49</f>
        <v>621.58519349999995</v>
      </c>
      <c r="Q78" s="3">
        <f t="shared" ref="Q78:Q81" si="73">AVERAGE(F78:O78)</f>
        <v>621.58519349999995</v>
      </c>
      <c r="R78" s="3">
        <f t="shared" ref="R78:R81" si="74">STDEV(F78:O78)</f>
        <v>0</v>
      </c>
    </row>
    <row r="79" spans="2:20" x14ac:dyDescent="0.25">
      <c r="C79" t="s">
        <v>49</v>
      </c>
      <c r="F79" s="3">
        <f>F77-F78</f>
        <v>314.21480650000001</v>
      </c>
      <c r="G79" s="3">
        <f t="shared" ref="G79:O79" si="75">G77-G78</f>
        <v>267.41480650000005</v>
      </c>
      <c r="H79" s="3">
        <f t="shared" si="75"/>
        <v>275.81480650000015</v>
      </c>
      <c r="I79" s="3">
        <f t="shared" si="75"/>
        <v>284.21480650000012</v>
      </c>
      <c r="J79" s="3">
        <f t="shared" si="75"/>
        <v>292.6148065000001</v>
      </c>
      <c r="K79" s="3">
        <f t="shared" si="75"/>
        <v>301.01480650000008</v>
      </c>
      <c r="L79" s="3">
        <f t="shared" si="75"/>
        <v>309.41480650000005</v>
      </c>
      <c r="M79" s="3">
        <f t="shared" si="75"/>
        <v>317.81480650000015</v>
      </c>
      <c r="N79" s="3">
        <f t="shared" si="75"/>
        <v>326.21480650000012</v>
      </c>
      <c r="O79" s="3">
        <f t="shared" si="75"/>
        <v>334.6148065000001</v>
      </c>
      <c r="Q79" s="3">
        <f t="shared" si="73"/>
        <v>302.33480650000013</v>
      </c>
      <c r="R79" s="3">
        <f t="shared" si="74"/>
        <v>22.086738102309265</v>
      </c>
    </row>
    <row r="80" spans="2:20" x14ac:dyDescent="0.25">
      <c r="C80" t="s">
        <v>81</v>
      </c>
      <c r="F80" s="3">
        <f>'Long-Run Projections'!G63+'Long-Run Projections'!G77</f>
        <v>403.49</v>
      </c>
      <c r="G80" s="3">
        <f>'Long-Run Projections'!H63+'Long-Run Projections'!H77</f>
        <v>403.49</v>
      </c>
      <c r="H80" s="3">
        <f>'Long-Run Projections'!I63+'Long-Run Projections'!I77</f>
        <v>403.49</v>
      </c>
      <c r="I80" s="3">
        <f>'Long-Run Projections'!J63+'Long-Run Projections'!J77</f>
        <v>403.49</v>
      </c>
      <c r="J80" s="3">
        <f>'Long-Run Projections'!K63+'Long-Run Projections'!K77</f>
        <v>403.49</v>
      </c>
      <c r="K80" s="3">
        <f>'Long-Run Projections'!L63+'Long-Run Projections'!L77</f>
        <v>403.49</v>
      </c>
      <c r="L80" s="3">
        <f>'Long-Run Projections'!M63+'Long-Run Projections'!M77</f>
        <v>403.49</v>
      </c>
      <c r="M80" s="3">
        <f>'Long-Run Projections'!N63+'Long-Run Projections'!N77</f>
        <v>403.49</v>
      </c>
      <c r="N80" s="3">
        <f>'Long-Run Projections'!O63+'Long-Run Projections'!O77</f>
        <v>403.49</v>
      </c>
      <c r="O80" s="3">
        <f>'Long-Run Projections'!P63+'Long-Run Projections'!P77</f>
        <v>403.49</v>
      </c>
      <c r="Q80" s="3">
        <f t="shared" si="73"/>
        <v>403.48999999999995</v>
      </c>
      <c r="R80" s="3">
        <f t="shared" si="74"/>
        <v>5.9918224530375701E-14</v>
      </c>
    </row>
    <row r="81" spans="2:20" x14ac:dyDescent="0.25">
      <c r="C81" t="s">
        <v>50</v>
      </c>
      <c r="F81" s="3">
        <f>F79-F80</f>
        <v>-89.2751935</v>
      </c>
      <c r="G81" s="3">
        <f t="shared" ref="G81:O81" si="76">G79-G80</f>
        <v>-136.07519349999995</v>
      </c>
      <c r="H81" s="3">
        <f t="shared" si="76"/>
        <v>-127.67519349999986</v>
      </c>
      <c r="I81" s="3">
        <f t="shared" si="76"/>
        <v>-119.27519349999989</v>
      </c>
      <c r="J81" s="3">
        <f t="shared" si="76"/>
        <v>-110.87519349999991</v>
      </c>
      <c r="K81" s="3">
        <f t="shared" si="76"/>
        <v>-102.47519349999993</v>
      </c>
      <c r="L81" s="3">
        <f t="shared" si="76"/>
        <v>-94.075193499999955</v>
      </c>
      <c r="M81" s="3">
        <f t="shared" si="76"/>
        <v>-85.675193499999864</v>
      </c>
      <c r="N81" s="3">
        <f t="shared" si="76"/>
        <v>-77.275193499999887</v>
      </c>
      <c r="O81" s="3">
        <f t="shared" si="76"/>
        <v>-68.875193499999909</v>
      </c>
      <c r="Q81" s="3">
        <f t="shared" si="73"/>
        <v>-101.15519349999991</v>
      </c>
      <c r="R81" s="3">
        <f t="shared" si="74"/>
        <v>22.086738102309262</v>
      </c>
    </row>
    <row r="82" spans="2:20" x14ac:dyDescent="0.25">
      <c r="F82" s="3"/>
      <c r="G82" s="3"/>
      <c r="H82" s="3"/>
      <c r="I82" s="3"/>
      <c r="J82" s="3"/>
      <c r="K82" s="3"/>
      <c r="L82" s="3"/>
      <c r="M82" s="3"/>
      <c r="N82" s="3"/>
      <c r="O82" s="3"/>
      <c r="Q82" s="3"/>
      <c r="R82" s="3"/>
    </row>
    <row r="83" spans="2:20" x14ac:dyDescent="0.25">
      <c r="C83" t="s">
        <v>86</v>
      </c>
      <c r="F83" s="3">
        <f>F81+'Long-Run Projections'!G77</f>
        <v>165.7248065</v>
      </c>
      <c r="G83" s="3">
        <f>G81+'Long-Run Projections'!H77</f>
        <v>118.92480650000005</v>
      </c>
      <c r="H83" s="3">
        <f>H81+'Long-Run Projections'!I77</f>
        <v>127.32480650000014</v>
      </c>
      <c r="I83" s="3">
        <f>I81+'Long-Run Projections'!J77</f>
        <v>135.72480650000011</v>
      </c>
      <c r="J83" s="3">
        <f>J81+'Long-Run Projections'!K77</f>
        <v>144.12480650000009</v>
      </c>
      <c r="K83" s="3">
        <f>K81+'Long-Run Projections'!L77</f>
        <v>152.52480650000007</v>
      </c>
      <c r="L83" s="3">
        <f>L81+'Long-Run Projections'!M77</f>
        <v>160.92480650000005</v>
      </c>
      <c r="M83" s="3">
        <f>M81+'Long-Run Projections'!N77</f>
        <v>169.32480650000014</v>
      </c>
      <c r="N83" s="3">
        <f>N81+'Long-Run Projections'!O77</f>
        <v>177.72480650000011</v>
      </c>
      <c r="O83" s="3">
        <f>O81+'Long-Run Projections'!P77</f>
        <v>186.12480650000009</v>
      </c>
      <c r="Q83" s="3">
        <f t="shared" ref="Q83" si="77">AVERAGE(F83:O83)</f>
        <v>153.84480650000009</v>
      </c>
      <c r="R83" s="3">
        <f t="shared" ref="R83" si="78">STDEV(F83:O83)</f>
        <v>22.086738102309116</v>
      </c>
      <c r="T83" s="33"/>
    </row>
    <row r="85" spans="2:20" x14ac:dyDescent="0.25">
      <c r="B85" t="s">
        <v>153</v>
      </c>
      <c r="F85" s="1"/>
    </row>
    <row r="87" spans="2:20" x14ac:dyDescent="0.25">
      <c r="C87" t="s">
        <v>78</v>
      </c>
      <c r="F87" s="3">
        <f>('Long-Run Projections'!G10*'Long-Run Projections'!G24)+('Long-Run Projections'!G38)</f>
        <v>554.76499999999999</v>
      </c>
      <c r="G87" s="3">
        <f>('Long-Run Projections'!H10*'Long-Run Projections'!H24)+('Long-Run Projections'!H38)</f>
        <v>518.26</v>
      </c>
      <c r="H87" s="3">
        <f>('Long-Run Projections'!I10*'Long-Run Projections'!I24)+('Long-Run Projections'!I38)</f>
        <v>521.9</v>
      </c>
      <c r="I87" s="3">
        <f>('Long-Run Projections'!J10*'Long-Run Projections'!J24)+('Long-Run Projections'!J38)</f>
        <v>525.54000000000008</v>
      </c>
      <c r="J87" s="3">
        <f>('Long-Run Projections'!K10*'Long-Run Projections'!K24)+('Long-Run Projections'!K38)</f>
        <v>529.18000000000006</v>
      </c>
      <c r="K87" s="3">
        <f>('Long-Run Projections'!L10*'Long-Run Projections'!L24)+('Long-Run Projections'!L38)</f>
        <v>532.82000000000005</v>
      </c>
      <c r="L87" s="3">
        <f>('Long-Run Projections'!M10*'Long-Run Projections'!M24)+('Long-Run Projections'!M38)</f>
        <v>536.46</v>
      </c>
      <c r="M87" s="3">
        <f>('Long-Run Projections'!N10*'Long-Run Projections'!N24)+('Long-Run Projections'!N38)</f>
        <v>540.10000000000014</v>
      </c>
      <c r="N87" s="3">
        <f>('Long-Run Projections'!O10*'Long-Run Projections'!O24)+('Long-Run Projections'!O38)</f>
        <v>543.74000000000012</v>
      </c>
      <c r="O87" s="3">
        <f>('Long-Run Projections'!P10*'Long-Run Projections'!P24)+('Long-Run Projections'!P38)</f>
        <v>547.38000000000011</v>
      </c>
      <c r="Q87" s="3">
        <f>AVERAGE(F87:O87)</f>
        <v>535.0145</v>
      </c>
      <c r="R87" s="3">
        <f>STDEV(F87:O87)</f>
        <v>11.682849359923594</v>
      </c>
    </row>
    <row r="88" spans="2:20" x14ac:dyDescent="0.25">
      <c r="C88" t="s">
        <v>80</v>
      </c>
      <c r="F88" s="3">
        <f>'Long-Run Projections'!G52</f>
        <v>289.705645</v>
      </c>
      <c r="G88" s="3">
        <f>'Long-Run Projections'!H52</f>
        <v>289.705645</v>
      </c>
      <c r="H88" s="3">
        <f>'Long-Run Projections'!I52</f>
        <v>289.705645</v>
      </c>
      <c r="I88" s="3">
        <f>'Long-Run Projections'!J52</f>
        <v>289.705645</v>
      </c>
      <c r="J88" s="3">
        <f>'Long-Run Projections'!K52</f>
        <v>289.705645</v>
      </c>
      <c r="K88" s="3">
        <f>'Long-Run Projections'!L52</f>
        <v>289.705645</v>
      </c>
      <c r="L88" s="3">
        <f>'Long-Run Projections'!M52</f>
        <v>289.705645</v>
      </c>
      <c r="M88" s="3">
        <f>'Long-Run Projections'!N52</f>
        <v>289.705645</v>
      </c>
      <c r="N88" s="3">
        <f>'Long-Run Projections'!O52</f>
        <v>289.705645</v>
      </c>
      <c r="O88" s="3">
        <f>'Long-Run Projections'!P52</f>
        <v>289.705645</v>
      </c>
      <c r="Q88" s="3">
        <f t="shared" ref="Q88:Q91" si="79">AVERAGE(F88:O88)</f>
        <v>289.705645</v>
      </c>
      <c r="R88" s="3">
        <f t="shared" ref="R88:R91" si="80">STDEV(F88:O88)</f>
        <v>0</v>
      </c>
    </row>
    <row r="89" spans="2:20" x14ac:dyDescent="0.25">
      <c r="C89" t="s">
        <v>49</v>
      </c>
      <c r="F89" s="3">
        <f>F87-F88</f>
        <v>265.05935499999998</v>
      </c>
      <c r="G89" s="3">
        <f t="shared" ref="G89:O89" si="81">G87-G88</f>
        <v>228.55435499999999</v>
      </c>
      <c r="H89" s="3">
        <f t="shared" si="81"/>
        <v>232.19435499999997</v>
      </c>
      <c r="I89" s="3">
        <f t="shared" si="81"/>
        <v>235.83435500000007</v>
      </c>
      <c r="J89" s="3">
        <f t="shared" si="81"/>
        <v>239.47435500000006</v>
      </c>
      <c r="K89" s="3">
        <f t="shared" si="81"/>
        <v>243.11435500000005</v>
      </c>
      <c r="L89" s="3">
        <f t="shared" si="81"/>
        <v>246.75435500000003</v>
      </c>
      <c r="M89" s="3">
        <f t="shared" si="81"/>
        <v>250.39435500000013</v>
      </c>
      <c r="N89" s="3">
        <f t="shared" si="81"/>
        <v>254.03435500000012</v>
      </c>
      <c r="O89" s="3">
        <f t="shared" si="81"/>
        <v>257.67435500000011</v>
      </c>
      <c r="Q89" s="3">
        <f t="shared" si="79"/>
        <v>245.30885500000005</v>
      </c>
      <c r="R89" s="3">
        <f t="shared" si="80"/>
        <v>11.682849359923594</v>
      </c>
    </row>
    <row r="90" spans="2:20" x14ac:dyDescent="0.25">
      <c r="C90" t="s">
        <v>81</v>
      </c>
      <c r="F90" s="3">
        <f>'Long-Run Projections'!G66+'Long-Run Projections'!G80</f>
        <v>450.53999999999996</v>
      </c>
      <c r="G90" s="3">
        <f>'Long-Run Projections'!H66+'Long-Run Projections'!H80</f>
        <v>450.53999999999996</v>
      </c>
      <c r="H90" s="3">
        <f>'Long-Run Projections'!I66+'Long-Run Projections'!I80</f>
        <v>450.53999999999996</v>
      </c>
      <c r="I90" s="3">
        <f>'Long-Run Projections'!J66+'Long-Run Projections'!J80</f>
        <v>450.53999999999996</v>
      </c>
      <c r="J90" s="3">
        <f>'Long-Run Projections'!K66+'Long-Run Projections'!K80</f>
        <v>450.53999999999996</v>
      </c>
      <c r="K90" s="3">
        <f>'Long-Run Projections'!L66+'Long-Run Projections'!L80</f>
        <v>450.53999999999996</v>
      </c>
      <c r="L90" s="3">
        <f>'Long-Run Projections'!M66+'Long-Run Projections'!M80</f>
        <v>450.53999999999996</v>
      </c>
      <c r="M90" s="3">
        <f>'Long-Run Projections'!N66+'Long-Run Projections'!N80</f>
        <v>450.53999999999996</v>
      </c>
      <c r="N90" s="3">
        <f>'Long-Run Projections'!O66+'Long-Run Projections'!O80</f>
        <v>450.53999999999996</v>
      </c>
      <c r="O90" s="3">
        <f>'Long-Run Projections'!P66+'Long-Run Projections'!P80</f>
        <v>450.53999999999996</v>
      </c>
      <c r="Q90" s="3">
        <f t="shared" si="79"/>
        <v>450.53999999999996</v>
      </c>
      <c r="R90" s="3">
        <f t="shared" si="80"/>
        <v>0</v>
      </c>
    </row>
    <row r="91" spans="2:20" x14ac:dyDescent="0.25">
      <c r="C91" t="s">
        <v>50</v>
      </c>
      <c r="F91" s="3">
        <f>F89-F90</f>
        <v>-185.48064499999998</v>
      </c>
      <c r="G91" s="3">
        <f t="shared" ref="G91:O91" si="82">G89-G90</f>
        <v>-221.98564499999998</v>
      </c>
      <c r="H91" s="3">
        <f t="shared" si="82"/>
        <v>-218.34564499999999</v>
      </c>
      <c r="I91" s="3">
        <f t="shared" si="82"/>
        <v>-214.70564499999989</v>
      </c>
      <c r="J91" s="3">
        <f t="shared" si="82"/>
        <v>-211.0656449999999</v>
      </c>
      <c r="K91" s="3">
        <f t="shared" si="82"/>
        <v>-207.42564499999992</v>
      </c>
      <c r="L91" s="3">
        <f t="shared" si="82"/>
        <v>-203.78564499999993</v>
      </c>
      <c r="M91" s="3">
        <f t="shared" si="82"/>
        <v>-200.14564499999983</v>
      </c>
      <c r="N91" s="3">
        <f t="shared" si="82"/>
        <v>-196.50564499999984</v>
      </c>
      <c r="O91" s="3">
        <f t="shared" si="82"/>
        <v>-192.86564499999986</v>
      </c>
      <c r="Q91" s="3">
        <f t="shared" si="79"/>
        <v>-205.23114499999991</v>
      </c>
      <c r="R91" s="3">
        <f t="shared" si="80"/>
        <v>11.682849359923594</v>
      </c>
    </row>
    <row r="92" spans="2:20" x14ac:dyDescent="0.25">
      <c r="F92" s="3"/>
      <c r="G92" s="3"/>
      <c r="H92" s="3"/>
      <c r="I92" s="3"/>
      <c r="J92" s="3"/>
      <c r="K92" s="3"/>
      <c r="L92" s="3"/>
      <c r="M92" s="3"/>
      <c r="N92" s="3"/>
      <c r="O92" s="3"/>
      <c r="Q92" s="3"/>
      <c r="R92" s="3"/>
    </row>
    <row r="93" spans="2:20" x14ac:dyDescent="0.25">
      <c r="C93" t="s">
        <v>86</v>
      </c>
      <c r="F93" s="3">
        <f>F91+'Long-Run Projections'!G80</f>
        <v>69.519355000000019</v>
      </c>
      <c r="G93" s="3">
        <f>G91+'Long-Run Projections'!H80</f>
        <v>33.014355000000023</v>
      </c>
      <c r="H93" s="3">
        <f>H91+'Long-Run Projections'!I80</f>
        <v>36.65435500000001</v>
      </c>
      <c r="I93" s="3">
        <f>I91+'Long-Run Projections'!J80</f>
        <v>40.29435500000011</v>
      </c>
      <c r="J93" s="3">
        <f>J91+'Long-Run Projections'!K80</f>
        <v>43.934355000000096</v>
      </c>
      <c r="K93" s="3">
        <f>K91+'Long-Run Projections'!L80</f>
        <v>47.574355000000082</v>
      </c>
      <c r="L93" s="3">
        <f>L91+'Long-Run Projections'!M80</f>
        <v>51.214355000000069</v>
      </c>
      <c r="M93" s="3">
        <f>M91+'Long-Run Projections'!N80</f>
        <v>54.854355000000169</v>
      </c>
      <c r="N93" s="3">
        <f>N91+'Long-Run Projections'!O80</f>
        <v>58.494355000000155</v>
      </c>
      <c r="O93" s="3">
        <f>O91+'Long-Run Projections'!P80</f>
        <v>62.134355000000141</v>
      </c>
      <c r="Q93" s="3">
        <f t="shared" ref="Q93" si="83">AVERAGE(F93:O93)</f>
        <v>49.768855000000087</v>
      </c>
      <c r="R93" s="3">
        <f t="shared" ref="R93" si="84">STDEV(F93:O93)</f>
        <v>11.682849359923601</v>
      </c>
      <c r="T93" s="33"/>
    </row>
    <row r="95" spans="2:20" x14ac:dyDescent="0.25">
      <c r="B95" t="s">
        <v>149</v>
      </c>
      <c r="F95" s="1"/>
    </row>
    <row r="97" spans="2:20" x14ac:dyDescent="0.25">
      <c r="C97" t="s">
        <v>78</v>
      </c>
      <c r="F97" s="3">
        <f>('Long-Run Projections'!G9*'Long-Run Projections'!G23)+('Long-Run Projections'!G37)</f>
        <v>501.50000000000006</v>
      </c>
      <c r="G97" s="3">
        <f>('Long-Run Projections'!H9*'Long-Run Projections'!H23)+('Long-Run Projections'!H37)</f>
        <v>480.62499999999994</v>
      </c>
      <c r="H97" s="3">
        <f>('Long-Run Projections'!I9*'Long-Run Projections'!I23)+('Long-Run Projections'!I37)</f>
        <v>482.5499999999999</v>
      </c>
      <c r="I97" s="3">
        <f>('Long-Run Projections'!J9*'Long-Run Projections'!J23)+('Long-Run Projections'!J37)</f>
        <v>484.47499999999991</v>
      </c>
      <c r="J97" s="3">
        <f>('Long-Run Projections'!K9*'Long-Run Projections'!K23)+('Long-Run Projections'!K37)</f>
        <v>486.39999999999986</v>
      </c>
      <c r="K97" s="3">
        <f>('Long-Run Projections'!L9*'Long-Run Projections'!L23)+('Long-Run Projections'!L37)</f>
        <v>488.32499999999982</v>
      </c>
      <c r="L97" s="3">
        <f>('Long-Run Projections'!M9*'Long-Run Projections'!M23)+('Long-Run Projections'!M37)</f>
        <v>490.24999999999983</v>
      </c>
      <c r="M97" s="3">
        <f>('Long-Run Projections'!N9*'Long-Run Projections'!N23)+('Long-Run Projections'!N37)</f>
        <v>492.17499999999978</v>
      </c>
      <c r="N97" s="3">
        <f>('Long-Run Projections'!O9*'Long-Run Projections'!O23)+('Long-Run Projections'!O37)</f>
        <v>494.09999999999974</v>
      </c>
      <c r="O97" s="3">
        <f>('Long-Run Projections'!P9*'Long-Run Projections'!P23)+('Long-Run Projections'!P37)</f>
        <v>496.02499999999969</v>
      </c>
      <c r="Q97" s="3">
        <f>AVERAGE(F97:O97)</f>
        <v>489.64249999999981</v>
      </c>
      <c r="R97" s="3">
        <f>STDEV(F97:O97)</f>
        <v>6.4855400057872208</v>
      </c>
    </row>
    <row r="98" spans="2:20" x14ac:dyDescent="0.25">
      <c r="C98" t="s">
        <v>80</v>
      </c>
      <c r="F98" s="3">
        <f>'Long-Run Projections'!G51</f>
        <v>241.4486</v>
      </c>
      <c r="G98" s="3">
        <f>'Long-Run Projections'!H51</f>
        <v>241.4486</v>
      </c>
      <c r="H98" s="3">
        <f>'Long-Run Projections'!I51</f>
        <v>241.4486</v>
      </c>
      <c r="I98" s="3">
        <f>'Long-Run Projections'!J51</f>
        <v>241.4486</v>
      </c>
      <c r="J98" s="3">
        <f>'Long-Run Projections'!K51</f>
        <v>241.4486</v>
      </c>
      <c r="K98" s="3">
        <f>'Long-Run Projections'!L51</f>
        <v>241.4486</v>
      </c>
      <c r="L98" s="3">
        <f>'Long-Run Projections'!M51</f>
        <v>241.4486</v>
      </c>
      <c r="M98" s="3">
        <f>'Long-Run Projections'!N51</f>
        <v>241.4486</v>
      </c>
      <c r="N98" s="3">
        <f>'Long-Run Projections'!O51</f>
        <v>241.4486</v>
      </c>
      <c r="O98" s="3">
        <f>'Long-Run Projections'!P51</f>
        <v>241.4486</v>
      </c>
      <c r="Q98" s="3">
        <f t="shared" ref="Q98:Q101" si="85">AVERAGE(F98:O98)</f>
        <v>241.4486</v>
      </c>
      <c r="R98" s="3">
        <f t="shared" ref="R98:R101" si="86">STDEV(F98:O98)</f>
        <v>0</v>
      </c>
    </row>
    <row r="99" spans="2:20" x14ac:dyDescent="0.25">
      <c r="C99" t="s">
        <v>49</v>
      </c>
      <c r="F99" s="3">
        <f>F97-F98</f>
        <v>260.05140000000006</v>
      </c>
      <c r="G99" s="3">
        <f t="shared" ref="G99:O99" si="87">G97-G98</f>
        <v>239.17639999999994</v>
      </c>
      <c r="H99" s="3">
        <f t="shared" si="87"/>
        <v>241.1013999999999</v>
      </c>
      <c r="I99" s="3">
        <f t="shared" si="87"/>
        <v>243.02639999999991</v>
      </c>
      <c r="J99" s="3">
        <f t="shared" si="87"/>
        <v>244.95139999999986</v>
      </c>
      <c r="K99" s="3">
        <f t="shared" si="87"/>
        <v>246.87639999999982</v>
      </c>
      <c r="L99" s="3">
        <f t="shared" si="87"/>
        <v>248.80139999999983</v>
      </c>
      <c r="M99" s="3">
        <f t="shared" si="87"/>
        <v>250.72639999999978</v>
      </c>
      <c r="N99" s="3">
        <f t="shared" si="87"/>
        <v>252.65139999999974</v>
      </c>
      <c r="O99" s="3">
        <f t="shared" si="87"/>
        <v>254.57639999999969</v>
      </c>
      <c r="Q99" s="3">
        <f t="shared" si="85"/>
        <v>248.19389999999984</v>
      </c>
      <c r="R99" s="3">
        <f t="shared" si="86"/>
        <v>6.4855400057872208</v>
      </c>
    </row>
    <row r="100" spans="2:20" x14ac:dyDescent="0.25">
      <c r="C100" t="s">
        <v>81</v>
      </c>
      <c r="F100" s="3">
        <f>'Long-Run Projections'!G65+'Long-Run Projections'!G79</f>
        <v>375.47402</v>
      </c>
      <c r="G100" s="3">
        <f>'Long-Run Projections'!H65+'Long-Run Projections'!H79</f>
        <v>375.47402</v>
      </c>
      <c r="H100" s="3">
        <f>'Long-Run Projections'!I65+'Long-Run Projections'!I79</f>
        <v>375.47402</v>
      </c>
      <c r="I100" s="3">
        <f>'Long-Run Projections'!J65+'Long-Run Projections'!J79</f>
        <v>375.47402</v>
      </c>
      <c r="J100" s="3">
        <f>'Long-Run Projections'!K65+'Long-Run Projections'!K79</f>
        <v>375.47402</v>
      </c>
      <c r="K100" s="3">
        <f>'Long-Run Projections'!L65+'Long-Run Projections'!L79</f>
        <v>375.47402</v>
      </c>
      <c r="L100" s="3">
        <f>'Long-Run Projections'!M65+'Long-Run Projections'!M79</f>
        <v>375.47402</v>
      </c>
      <c r="M100" s="3">
        <f>'Long-Run Projections'!N65+'Long-Run Projections'!N79</f>
        <v>375.47402</v>
      </c>
      <c r="N100" s="3">
        <f>'Long-Run Projections'!O65+'Long-Run Projections'!O79</f>
        <v>375.47402</v>
      </c>
      <c r="O100" s="3">
        <f>'Long-Run Projections'!P65+'Long-Run Projections'!P79</f>
        <v>375.47402</v>
      </c>
      <c r="Q100" s="3">
        <f t="shared" si="85"/>
        <v>375.47402000000005</v>
      </c>
      <c r="R100" s="3">
        <f t="shared" si="86"/>
        <v>5.9918224530375701E-14</v>
      </c>
    </row>
    <row r="101" spans="2:20" x14ac:dyDescent="0.25">
      <c r="C101" t="s">
        <v>50</v>
      </c>
      <c r="F101" s="3">
        <f>F99-F100</f>
        <v>-115.42261999999994</v>
      </c>
      <c r="G101" s="3">
        <f t="shared" ref="G101:O101" si="88">G99-G100</f>
        <v>-136.29762000000005</v>
      </c>
      <c r="H101" s="3">
        <f t="shared" si="88"/>
        <v>-134.3726200000001</v>
      </c>
      <c r="I101" s="3">
        <f t="shared" si="88"/>
        <v>-132.44762000000009</v>
      </c>
      <c r="J101" s="3">
        <f t="shared" si="88"/>
        <v>-130.52262000000013</v>
      </c>
      <c r="K101" s="3">
        <f t="shared" si="88"/>
        <v>-128.59762000000018</v>
      </c>
      <c r="L101" s="3">
        <f t="shared" si="88"/>
        <v>-126.67262000000017</v>
      </c>
      <c r="M101" s="3">
        <f t="shared" si="88"/>
        <v>-124.74762000000021</v>
      </c>
      <c r="N101" s="3">
        <f t="shared" si="88"/>
        <v>-122.82262000000026</v>
      </c>
      <c r="O101" s="3">
        <f t="shared" si="88"/>
        <v>-120.8976200000003</v>
      </c>
      <c r="Q101" s="3">
        <f t="shared" si="85"/>
        <v>-127.28012000000012</v>
      </c>
      <c r="R101" s="3">
        <f t="shared" si="86"/>
        <v>6.4855400057872199</v>
      </c>
    </row>
    <row r="102" spans="2:20" x14ac:dyDescent="0.25">
      <c r="F102" s="3"/>
      <c r="G102" s="3"/>
      <c r="H102" s="3"/>
      <c r="I102" s="3"/>
      <c r="J102" s="3"/>
      <c r="K102" s="3"/>
      <c r="L102" s="3"/>
      <c r="M102" s="3"/>
      <c r="N102" s="3"/>
      <c r="O102" s="3"/>
      <c r="Q102" s="3"/>
      <c r="R102" s="3"/>
    </row>
    <row r="103" spans="2:20" x14ac:dyDescent="0.25">
      <c r="C103" t="s">
        <v>86</v>
      </c>
      <c r="F103" s="3">
        <f>F101+'Long-Run Projections'!G79</f>
        <v>139.57738000000006</v>
      </c>
      <c r="G103" s="3">
        <f>G101+'Long-Run Projections'!H79</f>
        <v>118.70237999999995</v>
      </c>
      <c r="H103" s="3">
        <f>H101+'Long-Run Projections'!I79</f>
        <v>120.6273799999999</v>
      </c>
      <c r="I103" s="3">
        <f>I101+'Long-Run Projections'!J79</f>
        <v>122.55237999999991</v>
      </c>
      <c r="J103" s="3">
        <f>J101+'Long-Run Projections'!K79</f>
        <v>124.47737999999987</v>
      </c>
      <c r="K103" s="3">
        <f>K101+'Long-Run Projections'!L79</f>
        <v>126.40237999999982</v>
      </c>
      <c r="L103" s="3">
        <f>L101+'Long-Run Projections'!M79</f>
        <v>128.32737999999983</v>
      </c>
      <c r="M103" s="3">
        <f>M101+'Long-Run Projections'!N79</f>
        <v>130.25237999999979</v>
      </c>
      <c r="N103" s="3">
        <f>N101+'Long-Run Projections'!O79</f>
        <v>132.17737999999974</v>
      </c>
      <c r="O103" s="3">
        <f>O101+'Long-Run Projections'!P79</f>
        <v>134.1023799999997</v>
      </c>
      <c r="Q103" s="3">
        <f t="shared" ref="Q103" si="89">AVERAGE(F103:O103)</f>
        <v>127.71987999999988</v>
      </c>
      <c r="R103" s="3">
        <f t="shared" ref="R103" si="90">STDEV(F103:O103)</f>
        <v>6.4855400057872199</v>
      </c>
      <c r="T103" s="33"/>
    </row>
    <row r="105" spans="2:20" x14ac:dyDescent="0.25">
      <c r="B105" t="s">
        <v>163</v>
      </c>
      <c r="F105" s="1"/>
    </row>
    <row r="107" spans="2:20" x14ac:dyDescent="0.25">
      <c r="C107" t="s">
        <v>78</v>
      </c>
      <c r="F107" s="3">
        <f>('Long-Run Projections'!G11*'Long-Run Projections'!G25)+('Long-Run Projections'!G39)</f>
        <v>469.64</v>
      </c>
      <c r="G107" s="3">
        <f>('Long-Run Projections'!H11*'Long-Run Projections'!H25)+('Long-Run Projections'!H39)</f>
        <v>450.64999999999992</v>
      </c>
      <c r="H107" s="3">
        <f>('Long-Run Projections'!I11*'Long-Run Projections'!I25)+('Long-Run Projections'!I39)</f>
        <v>452.2999999999999</v>
      </c>
      <c r="I107" s="3">
        <f>('Long-Run Projections'!J11*'Long-Run Projections'!J25)+('Long-Run Projections'!J39)</f>
        <v>453.94999999999993</v>
      </c>
      <c r="J107" s="3">
        <f>('Long-Run Projections'!K11*'Long-Run Projections'!K25)+('Long-Run Projections'!K39)</f>
        <v>455.59999999999991</v>
      </c>
      <c r="K107" s="3">
        <f>('Long-Run Projections'!L11*'Long-Run Projections'!L25)+('Long-Run Projections'!L39)</f>
        <v>457.24999999999989</v>
      </c>
      <c r="L107" s="3">
        <f>('Long-Run Projections'!M11*'Long-Run Projections'!M25)+('Long-Run Projections'!M39)</f>
        <v>458.89999999999986</v>
      </c>
      <c r="M107" s="3">
        <f>('Long-Run Projections'!N11*'Long-Run Projections'!N25)+('Long-Run Projections'!N39)</f>
        <v>460.54999999999984</v>
      </c>
      <c r="N107" s="3">
        <f>('Long-Run Projections'!O11*'Long-Run Projections'!O25)+('Long-Run Projections'!O39)</f>
        <v>462.19999999999982</v>
      </c>
      <c r="O107" s="3">
        <f>('Long-Run Projections'!P11*'Long-Run Projections'!P25)+('Long-Run Projections'!P39)</f>
        <v>463.8499999999998</v>
      </c>
      <c r="Q107" s="3">
        <f>AVERAGE(F107:O107)</f>
        <v>458.48899999999986</v>
      </c>
      <c r="R107" s="3">
        <f>STDEV(F107:O107)</f>
        <v>5.788022978530746</v>
      </c>
    </row>
    <row r="108" spans="2:20" x14ac:dyDescent="0.25">
      <c r="C108" t="s">
        <v>80</v>
      </c>
      <c r="F108" s="3">
        <f>'Long-Run Projections'!G53</f>
        <v>272.40564499999999</v>
      </c>
      <c r="G108" s="3">
        <f>'Long-Run Projections'!H53</f>
        <v>272.40564499999999</v>
      </c>
      <c r="H108" s="3">
        <f>'Long-Run Projections'!I53</f>
        <v>272.40564499999999</v>
      </c>
      <c r="I108" s="3">
        <f>'Long-Run Projections'!J53</f>
        <v>272.40564499999999</v>
      </c>
      <c r="J108" s="3">
        <f>'Long-Run Projections'!K53</f>
        <v>272.40564499999999</v>
      </c>
      <c r="K108" s="3">
        <f>'Long-Run Projections'!L53</f>
        <v>272.40564499999999</v>
      </c>
      <c r="L108" s="3">
        <f>'Long-Run Projections'!M53</f>
        <v>272.40564499999999</v>
      </c>
      <c r="M108" s="3">
        <f>'Long-Run Projections'!N53</f>
        <v>272.40564499999999</v>
      </c>
      <c r="N108" s="3">
        <f>'Long-Run Projections'!O53</f>
        <v>272.40564499999999</v>
      </c>
      <c r="O108" s="3">
        <f>'Long-Run Projections'!P53</f>
        <v>272.40564499999999</v>
      </c>
      <c r="Q108" s="3">
        <f t="shared" ref="Q108:Q111" si="91">AVERAGE(F108:O108)</f>
        <v>272.40564499999994</v>
      </c>
      <c r="R108" s="3">
        <f t="shared" ref="R108:R111" si="92">STDEV(F108:O108)</f>
        <v>5.9918224530375701E-14</v>
      </c>
    </row>
    <row r="109" spans="2:20" x14ac:dyDescent="0.25">
      <c r="C109" t="s">
        <v>49</v>
      </c>
      <c r="F109" s="3">
        <f>F107-F108</f>
        <v>197.23435499999999</v>
      </c>
      <c r="G109" s="3">
        <f t="shared" ref="G109:O109" si="93">G107-G108</f>
        <v>178.24435499999993</v>
      </c>
      <c r="H109" s="3">
        <f t="shared" si="93"/>
        <v>179.8943549999999</v>
      </c>
      <c r="I109" s="3">
        <f t="shared" si="93"/>
        <v>181.54435499999994</v>
      </c>
      <c r="J109" s="3">
        <f t="shared" si="93"/>
        <v>183.19435499999992</v>
      </c>
      <c r="K109" s="3">
        <f t="shared" si="93"/>
        <v>184.84435499999989</v>
      </c>
      <c r="L109" s="3">
        <f t="shared" si="93"/>
        <v>186.49435499999987</v>
      </c>
      <c r="M109" s="3">
        <f t="shared" si="93"/>
        <v>188.14435499999985</v>
      </c>
      <c r="N109" s="3">
        <f t="shared" si="93"/>
        <v>189.79435499999983</v>
      </c>
      <c r="O109" s="3">
        <f t="shared" si="93"/>
        <v>191.4443549999998</v>
      </c>
      <c r="Q109" s="3">
        <f t="shared" si="91"/>
        <v>186.0833549999999</v>
      </c>
      <c r="R109" s="3">
        <f t="shared" si="92"/>
        <v>5.788022978530746</v>
      </c>
    </row>
    <row r="110" spans="2:20" x14ac:dyDescent="0.25">
      <c r="C110" t="s">
        <v>81</v>
      </c>
      <c r="F110" s="3">
        <f>'Long-Run Projections'!G67+'Long-Run Projections'!G81</f>
        <v>434.88</v>
      </c>
      <c r="G110" s="3">
        <f>'Long-Run Projections'!H67+'Long-Run Projections'!H81</f>
        <v>434.88</v>
      </c>
      <c r="H110" s="3">
        <f>'Long-Run Projections'!I67+'Long-Run Projections'!I81</f>
        <v>434.88</v>
      </c>
      <c r="I110" s="3">
        <f>'Long-Run Projections'!J67+'Long-Run Projections'!J81</f>
        <v>434.88</v>
      </c>
      <c r="J110" s="3">
        <f>'Long-Run Projections'!K67+'Long-Run Projections'!K81</f>
        <v>434.88</v>
      </c>
      <c r="K110" s="3">
        <f>'Long-Run Projections'!L67+'Long-Run Projections'!L81</f>
        <v>434.88</v>
      </c>
      <c r="L110" s="3">
        <f>'Long-Run Projections'!M67+'Long-Run Projections'!M81</f>
        <v>434.88</v>
      </c>
      <c r="M110" s="3">
        <f>'Long-Run Projections'!N67+'Long-Run Projections'!N81</f>
        <v>434.88</v>
      </c>
      <c r="N110" s="3">
        <f>'Long-Run Projections'!O67+'Long-Run Projections'!O81</f>
        <v>434.88</v>
      </c>
      <c r="O110" s="3">
        <f>'Long-Run Projections'!P67+'Long-Run Projections'!P81</f>
        <v>434.88</v>
      </c>
      <c r="Q110" s="3">
        <f t="shared" si="91"/>
        <v>434.88</v>
      </c>
      <c r="R110" s="3">
        <f t="shared" si="92"/>
        <v>0</v>
      </c>
    </row>
    <row r="111" spans="2:20" x14ac:dyDescent="0.25">
      <c r="C111" t="s">
        <v>50</v>
      </c>
      <c r="F111" s="3">
        <f>F109-F110</f>
        <v>-237.645645</v>
      </c>
      <c r="G111" s="3">
        <f t="shared" ref="G111:O111" si="94">G109-G110</f>
        <v>-256.63564500000007</v>
      </c>
      <c r="H111" s="3">
        <f t="shared" si="94"/>
        <v>-254.98564500000009</v>
      </c>
      <c r="I111" s="3">
        <f t="shared" si="94"/>
        <v>-253.33564500000006</v>
      </c>
      <c r="J111" s="3">
        <f t="shared" si="94"/>
        <v>-251.68564500000008</v>
      </c>
      <c r="K111" s="3">
        <f t="shared" si="94"/>
        <v>-250.0356450000001</v>
      </c>
      <c r="L111" s="3">
        <f t="shared" si="94"/>
        <v>-248.38564500000012</v>
      </c>
      <c r="M111" s="3">
        <f t="shared" si="94"/>
        <v>-246.73564500000015</v>
      </c>
      <c r="N111" s="3">
        <f t="shared" si="94"/>
        <v>-245.08564500000017</v>
      </c>
      <c r="O111" s="3">
        <f t="shared" si="94"/>
        <v>-243.43564500000019</v>
      </c>
      <c r="Q111" s="3">
        <f t="shared" si="91"/>
        <v>-248.79664500000007</v>
      </c>
      <c r="R111" s="3">
        <f t="shared" si="92"/>
        <v>5.788022978530746</v>
      </c>
    </row>
    <row r="112" spans="2:20" x14ac:dyDescent="0.25">
      <c r="F112" s="3"/>
      <c r="G112" s="3"/>
      <c r="H112" s="3"/>
      <c r="I112" s="3"/>
      <c r="J112" s="3"/>
      <c r="K112" s="3"/>
      <c r="L112" s="3"/>
      <c r="M112" s="3"/>
      <c r="N112" s="3"/>
      <c r="O112" s="3"/>
      <c r="Q112" s="3"/>
      <c r="R112" s="3"/>
    </row>
    <row r="113" spans="2:20" x14ac:dyDescent="0.25">
      <c r="C113" t="s">
        <v>86</v>
      </c>
      <c r="F113" s="3">
        <f>F111+'Long-Run Projections'!G81</f>
        <v>17.354354999999998</v>
      </c>
      <c r="G113" s="3">
        <f>G111+'Long-Run Projections'!H81</f>
        <v>-1.6356450000000677</v>
      </c>
      <c r="H113" s="3">
        <f>H111+'Long-Run Projections'!I81</f>
        <v>1.4354999999909523E-2</v>
      </c>
      <c r="I113" s="3">
        <f>I111+'Long-Run Projections'!J81</f>
        <v>1.6643549999999436</v>
      </c>
      <c r="J113" s="3">
        <f>J111+'Long-Run Projections'!K81</f>
        <v>3.3143549999999209</v>
      </c>
      <c r="K113" s="3">
        <f>K111+'Long-Run Projections'!L81</f>
        <v>4.9643549999998982</v>
      </c>
      <c r="L113" s="3">
        <f>L111+'Long-Run Projections'!M81</f>
        <v>6.6143549999998754</v>
      </c>
      <c r="M113" s="3">
        <f>M111+'Long-Run Projections'!N81</f>
        <v>8.2643549999998527</v>
      </c>
      <c r="N113" s="3">
        <f>N111+'Long-Run Projections'!O81</f>
        <v>9.9143549999998299</v>
      </c>
      <c r="O113" s="3">
        <f>O111+'Long-Run Projections'!P81</f>
        <v>11.564354999999807</v>
      </c>
      <c r="Q113" s="3">
        <f t="shared" ref="Q113" si="95">AVERAGE(F113:O113)</f>
        <v>6.2033549999998971</v>
      </c>
      <c r="R113" s="3">
        <f t="shared" ref="R113" si="96">STDEV(F113:O113)</f>
        <v>5.7880229785307469</v>
      </c>
      <c r="T113" s="33"/>
    </row>
    <row r="115" spans="2:20" x14ac:dyDescent="0.25">
      <c r="B115" t="s">
        <v>106</v>
      </c>
    </row>
    <row r="117" spans="2:20" x14ac:dyDescent="0.25">
      <c r="C117" t="s">
        <v>78</v>
      </c>
      <c r="F117" s="3">
        <f>('Long-Run Projections'!G12*'Long-Run Projections'!G26)+('Long-Run Projections'!G40)</f>
        <v>1295.7900000000002</v>
      </c>
      <c r="G117" s="3">
        <f>('Long-Run Projections'!H12*'Long-Run Projections'!H26)+('Long-Run Projections'!H40)</f>
        <v>1217.6400000000001</v>
      </c>
      <c r="H117" s="3">
        <f>('Long-Run Projections'!I12*'Long-Run Projections'!I26)+('Long-Run Projections'!I40)</f>
        <v>1228.9650000000001</v>
      </c>
      <c r="I117" s="3">
        <f>('Long-Run Projections'!J12*'Long-Run Projections'!J26)+('Long-Run Projections'!J40)</f>
        <v>1240.29</v>
      </c>
      <c r="J117" s="3">
        <f>('Long-Run Projections'!K12*'Long-Run Projections'!K26)+('Long-Run Projections'!K40)</f>
        <v>1251.615</v>
      </c>
      <c r="K117" s="3">
        <f>('Long-Run Projections'!L12*'Long-Run Projections'!L26)+('Long-Run Projections'!L40)</f>
        <v>1262.94</v>
      </c>
      <c r="L117" s="3">
        <f>('Long-Run Projections'!M12*'Long-Run Projections'!M26)+('Long-Run Projections'!M40)</f>
        <v>1274.2650000000001</v>
      </c>
      <c r="M117" s="3">
        <f>('Long-Run Projections'!N12*'Long-Run Projections'!N26)+('Long-Run Projections'!N40)</f>
        <v>1285.5900000000001</v>
      </c>
      <c r="N117" s="3">
        <f>('Long-Run Projections'!O12*'Long-Run Projections'!O26)+('Long-Run Projections'!O40)</f>
        <v>1296.915</v>
      </c>
      <c r="O117" s="3">
        <f>('Long-Run Projections'!P12*'Long-Run Projections'!P26)+('Long-Run Projections'!P40)</f>
        <v>1308.24</v>
      </c>
      <c r="Q117" s="3">
        <f t="shared" ref="Q117" si="97">AVERAGE(F117:O117)</f>
        <v>1266.2249999999999</v>
      </c>
      <c r="R117" s="3">
        <f t="shared" ref="R117" si="98">STDEV(F117:O117)</f>
        <v>31.031431645994026</v>
      </c>
    </row>
    <row r="118" spans="2:20" x14ac:dyDescent="0.25">
      <c r="C118" t="s">
        <v>80</v>
      </c>
      <c r="F118" s="3">
        <f>'Long-Run Projections'!G54</f>
        <v>559.42064500000004</v>
      </c>
      <c r="G118" s="3">
        <f>'Long-Run Projections'!H54</f>
        <v>559.42064500000004</v>
      </c>
      <c r="H118" s="3">
        <f>'Long-Run Projections'!I54</f>
        <v>559.42064500000004</v>
      </c>
      <c r="I118" s="3">
        <f>'Long-Run Projections'!J54</f>
        <v>559.42064500000004</v>
      </c>
      <c r="J118" s="3">
        <f>'Long-Run Projections'!K54</f>
        <v>559.42064500000004</v>
      </c>
      <c r="K118" s="3">
        <f>'Long-Run Projections'!L54</f>
        <v>559.42064500000004</v>
      </c>
      <c r="L118" s="3">
        <f>'Long-Run Projections'!M54</f>
        <v>559.42064500000004</v>
      </c>
      <c r="M118" s="3">
        <f>'Long-Run Projections'!N54</f>
        <v>559.42064500000004</v>
      </c>
      <c r="N118" s="3">
        <f>'Long-Run Projections'!O54</f>
        <v>559.42064500000004</v>
      </c>
      <c r="O118" s="3">
        <f>'Long-Run Projections'!P54</f>
        <v>559.42064500000004</v>
      </c>
      <c r="Q118" s="3">
        <f t="shared" ref="Q118:Q121" si="99">AVERAGE(F118:O118)</f>
        <v>559.42064500000004</v>
      </c>
      <c r="R118" s="3">
        <f t="shared" ref="R118:R121" si="100">STDEV(F118:O118)</f>
        <v>0</v>
      </c>
    </row>
    <row r="119" spans="2:20" x14ac:dyDescent="0.25">
      <c r="C119" t="s">
        <v>49</v>
      </c>
      <c r="F119" s="3">
        <f>F117-F118</f>
        <v>736.36935500000016</v>
      </c>
      <c r="G119" s="3">
        <f t="shared" ref="G119:O119" si="101">G117-G118</f>
        <v>658.21935500000006</v>
      </c>
      <c r="H119" s="3">
        <f t="shared" si="101"/>
        <v>669.54435500000011</v>
      </c>
      <c r="I119" s="3">
        <f t="shared" si="101"/>
        <v>680.86935499999993</v>
      </c>
      <c r="J119" s="3">
        <f t="shared" si="101"/>
        <v>692.19435499999997</v>
      </c>
      <c r="K119" s="3">
        <f t="shared" si="101"/>
        <v>703.51935500000002</v>
      </c>
      <c r="L119" s="3">
        <f t="shared" si="101"/>
        <v>714.84435500000006</v>
      </c>
      <c r="M119" s="3">
        <f t="shared" si="101"/>
        <v>726.16935500000011</v>
      </c>
      <c r="N119" s="3">
        <f t="shared" si="101"/>
        <v>737.49435499999993</v>
      </c>
      <c r="O119" s="3">
        <f t="shared" si="101"/>
        <v>748.81935499999997</v>
      </c>
      <c r="Q119" s="3">
        <f t="shared" si="99"/>
        <v>706.80435499999999</v>
      </c>
      <c r="R119" s="3">
        <f t="shared" si="100"/>
        <v>31.031431645994029</v>
      </c>
    </row>
    <row r="120" spans="2:20" x14ac:dyDescent="0.25">
      <c r="C120" t="s">
        <v>81</v>
      </c>
      <c r="F120" s="3">
        <f>'Long-Run Projections'!G68+'Long-Run Projections'!G82</f>
        <v>506.74</v>
      </c>
      <c r="G120" s="3">
        <f>'Long-Run Projections'!H68+'Long-Run Projections'!H82</f>
        <v>506.74</v>
      </c>
      <c r="H120" s="3">
        <f>'Long-Run Projections'!I68+'Long-Run Projections'!I82</f>
        <v>506.74</v>
      </c>
      <c r="I120" s="3">
        <f>'Long-Run Projections'!J68+'Long-Run Projections'!J82</f>
        <v>506.74</v>
      </c>
      <c r="J120" s="3">
        <f>'Long-Run Projections'!K68+'Long-Run Projections'!K82</f>
        <v>506.74</v>
      </c>
      <c r="K120" s="3">
        <f>'Long-Run Projections'!L68+'Long-Run Projections'!L82</f>
        <v>506.74</v>
      </c>
      <c r="L120" s="3">
        <f>'Long-Run Projections'!M68+'Long-Run Projections'!M82</f>
        <v>506.74</v>
      </c>
      <c r="M120" s="3">
        <f>'Long-Run Projections'!N68+'Long-Run Projections'!N82</f>
        <v>506.74</v>
      </c>
      <c r="N120" s="3">
        <f>'Long-Run Projections'!O68+'Long-Run Projections'!O82</f>
        <v>506.74</v>
      </c>
      <c r="O120" s="3">
        <f>'Long-Run Projections'!P68+'Long-Run Projections'!P82</f>
        <v>506.74</v>
      </c>
      <c r="Q120" s="3">
        <f t="shared" si="99"/>
        <v>506.7399999999999</v>
      </c>
      <c r="R120" s="3">
        <f t="shared" si="100"/>
        <v>1.198364490607514E-13</v>
      </c>
    </row>
    <row r="121" spans="2:20" x14ac:dyDescent="0.25">
      <c r="C121" t="s">
        <v>50</v>
      </c>
      <c r="F121" s="3">
        <f>F119-F120</f>
        <v>229.62935500000015</v>
      </c>
      <c r="G121" s="3">
        <f t="shared" ref="G121:O121" si="102">G119-G120</f>
        <v>151.47935500000006</v>
      </c>
      <c r="H121" s="3">
        <f t="shared" si="102"/>
        <v>162.8043550000001</v>
      </c>
      <c r="I121" s="3">
        <f t="shared" si="102"/>
        <v>174.12935499999992</v>
      </c>
      <c r="J121" s="3">
        <f t="shared" si="102"/>
        <v>185.45435499999996</v>
      </c>
      <c r="K121" s="3">
        <f t="shared" si="102"/>
        <v>196.77935500000001</v>
      </c>
      <c r="L121" s="3">
        <f t="shared" si="102"/>
        <v>208.10435500000006</v>
      </c>
      <c r="M121" s="3">
        <f t="shared" si="102"/>
        <v>219.4293550000001</v>
      </c>
      <c r="N121" s="3">
        <f t="shared" si="102"/>
        <v>230.75435499999992</v>
      </c>
      <c r="O121" s="3">
        <f t="shared" si="102"/>
        <v>242.07935499999996</v>
      </c>
      <c r="Q121" s="3">
        <f t="shared" si="99"/>
        <v>200.06435500000003</v>
      </c>
      <c r="R121" s="3">
        <f t="shared" si="100"/>
        <v>31.031431645994083</v>
      </c>
    </row>
    <row r="122" spans="2:20" x14ac:dyDescent="0.25">
      <c r="F122" s="3"/>
      <c r="G122" s="3"/>
      <c r="H122" s="3"/>
      <c r="I122" s="3"/>
      <c r="J122" s="3"/>
      <c r="K122" s="3"/>
      <c r="L122" s="3"/>
      <c r="M122" s="3"/>
      <c r="N122" s="3"/>
      <c r="O122" s="3"/>
      <c r="Q122" s="3"/>
      <c r="R122" s="3"/>
    </row>
    <row r="123" spans="2:20" x14ac:dyDescent="0.25">
      <c r="C123" t="s">
        <v>86</v>
      </c>
      <c r="F123" s="3">
        <f>F121+'Long-Run Projections'!G82</f>
        <v>484.62935500000015</v>
      </c>
      <c r="G123" s="3">
        <f>G121+'Long-Run Projections'!H82</f>
        <v>406.47935500000006</v>
      </c>
      <c r="H123" s="3">
        <f>H121+'Long-Run Projections'!I82</f>
        <v>417.8043550000001</v>
      </c>
      <c r="I123" s="3">
        <f>I121+'Long-Run Projections'!J82</f>
        <v>429.12935499999992</v>
      </c>
      <c r="J123" s="3">
        <f>J121+'Long-Run Projections'!K82</f>
        <v>440.45435499999996</v>
      </c>
      <c r="K123" s="3">
        <f>K121+'Long-Run Projections'!L82</f>
        <v>451.77935500000001</v>
      </c>
      <c r="L123" s="3">
        <f>L121+'Long-Run Projections'!M82</f>
        <v>463.10435500000006</v>
      </c>
      <c r="M123" s="3">
        <f>M121+'Long-Run Projections'!N82</f>
        <v>474.4293550000001</v>
      </c>
      <c r="N123" s="3">
        <f>N121+'Long-Run Projections'!O82</f>
        <v>485.75435499999992</v>
      </c>
      <c r="O123" s="3">
        <f>O121+'Long-Run Projections'!P82</f>
        <v>497.07935499999996</v>
      </c>
      <c r="Q123" s="3">
        <f t="shared" ref="Q123" si="103">AVERAGE(F123:O123)</f>
        <v>455.06435500000009</v>
      </c>
      <c r="R123" s="3">
        <f t="shared" ref="R123" si="104">STDEV(F123:O123)</f>
        <v>31.031431645994029</v>
      </c>
      <c r="T123" s="33"/>
    </row>
    <row r="125" spans="2:20" x14ac:dyDescent="0.25">
      <c r="B125" t="s">
        <v>107</v>
      </c>
    </row>
    <row r="127" spans="2:20" x14ac:dyDescent="0.25">
      <c r="C127" t="s">
        <v>78</v>
      </c>
      <c r="F127" s="3">
        <f>('Long-Run Projections'!G13*'Long-Run Projections'!G27)+('Long-Run Projections'!G41)</f>
        <v>1185.5550000000001</v>
      </c>
      <c r="G127" s="3">
        <f>('Long-Run Projections'!H13*'Long-Run Projections'!H27)+('Long-Run Projections'!H41)</f>
        <v>1090.7275</v>
      </c>
      <c r="H127" s="3">
        <f>('Long-Run Projections'!I13*'Long-Run Projections'!I27)+('Long-Run Projections'!I41)</f>
        <v>1098.55</v>
      </c>
      <c r="I127" s="3">
        <f>('Long-Run Projections'!J13*'Long-Run Projections'!J27)+('Long-Run Projections'!J41)</f>
        <v>1106.3724999999999</v>
      </c>
      <c r="J127" s="3">
        <f>('Long-Run Projections'!K13*'Long-Run Projections'!K27)+('Long-Run Projections'!K41)</f>
        <v>1114.1949999999999</v>
      </c>
      <c r="K127" s="3">
        <f>('Long-Run Projections'!L13*'Long-Run Projections'!L27)+('Long-Run Projections'!L41)</f>
        <v>1122.0175000000002</v>
      </c>
      <c r="L127" s="3">
        <f>('Long-Run Projections'!M13*'Long-Run Projections'!M27)+('Long-Run Projections'!M41)</f>
        <v>1129.8400000000001</v>
      </c>
      <c r="M127" s="3">
        <f>('Long-Run Projections'!N13*'Long-Run Projections'!N27)+('Long-Run Projections'!N41)</f>
        <v>1137.6625000000001</v>
      </c>
      <c r="N127" s="3">
        <f>('Long-Run Projections'!O13*'Long-Run Projections'!O27)+('Long-Run Projections'!O41)</f>
        <v>1145.4850000000001</v>
      </c>
      <c r="O127" s="3">
        <f>('Long-Run Projections'!P13*'Long-Run Projections'!P27)+('Long-Run Projections'!P41)</f>
        <v>1153.3075000000001</v>
      </c>
      <c r="Q127" s="3">
        <f t="shared" ref="Q127:Q131" si="105">AVERAGE(F127:O127)</f>
        <v>1128.3712500000001</v>
      </c>
      <c r="R127" s="3">
        <f t="shared" ref="R127:R131" si="106">STDEV(F127:O127)</f>
        <v>28.489379874349726</v>
      </c>
    </row>
    <row r="128" spans="2:20" x14ac:dyDescent="0.25">
      <c r="C128" t="s">
        <v>80</v>
      </c>
      <c r="F128" s="3">
        <f>'Long-Run Projections'!G55</f>
        <v>303.71614</v>
      </c>
      <c r="G128" s="3">
        <f>'Long-Run Projections'!H55</f>
        <v>303.71614</v>
      </c>
      <c r="H128" s="3">
        <f>'Long-Run Projections'!I55</f>
        <v>303.71614</v>
      </c>
      <c r="I128" s="3">
        <f>'Long-Run Projections'!J55</f>
        <v>303.71614</v>
      </c>
      <c r="J128" s="3">
        <f>'Long-Run Projections'!K55</f>
        <v>303.71614</v>
      </c>
      <c r="K128" s="3">
        <f>'Long-Run Projections'!L55</f>
        <v>303.71614</v>
      </c>
      <c r="L128" s="3">
        <f>'Long-Run Projections'!M55</f>
        <v>303.71614</v>
      </c>
      <c r="M128" s="3">
        <f>'Long-Run Projections'!N55</f>
        <v>303.71614</v>
      </c>
      <c r="N128" s="3">
        <f>'Long-Run Projections'!O55</f>
        <v>303.71614</v>
      </c>
      <c r="O128" s="3">
        <f>'Long-Run Projections'!P55</f>
        <v>303.71614</v>
      </c>
      <c r="Q128" s="3">
        <f t="shared" si="105"/>
        <v>303.71614</v>
      </c>
      <c r="R128" s="3">
        <f t="shared" si="106"/>
        <v>0</v>
      </c>
    </row>
    <row r="129" spans="2:20" x14ac:dyDescent="0.25">
      <c r="C129" t="s">
        <v>49</v>
      </c>
      <c r="F129" s="3">
        <f>F127-F128</f>
        <v>881.83886000000007</v>
      </c>
      <c r="G129" s="3">
        <f t="shared" ref="G129:O129" si="107">G127-G128</f>
        <v>787.01135999999997</v>
      </c>
      <c r="H129" s="3">
        <f t="shared" si="107"/>
        <v>794.83385999999996</v>
      </c>
      <c r="I129" s="3">
        <f t="shared" si="107"/>
        <v>802.65635999999995</v>
      </c>
      <c r="J129" s="3">
        <f t="shared" si="107"/>
        <v>810.47885999999994</v>
      </c>
      <c r="K129" s="3">
        <f t="shared" si="107"/>
        <v>818.30136000000016</v>
      </c>
      <c r="L129" s="3">
        <f t="shared" si="107"/>
        <v>826.12386000000015</v>
      </c>
      <c r="M129" s="3">
        <f t="shared" si="107"/>
        <v>833.94636000000014</v>
      </c>
      <c r="N129" s="3">
        <f t="shared" si="107"/>
        <v>841.76886000000013</v>
      </c>
      <c r="O129" s="3">
        <f t="shared" si="107"/>
        <v>849.59136000000012</v>
      </c>
      <c r="Q129" s="3">
        <f t="shared" si="105"/>
        <v>824.65511000000004</v>
      </c>
      <c r="R129" s="3">
        <f t="shared" si="106"/>
        <v>28.489379874349723</v>
      </c>
    </row>
    <row r="130" spans="2:20" x14ac:dyDescent="0.25">
      <c r="C130" t="s">
        <v>81</v>
      </c>
      <c r="F130" s="3">
        <f>'Long-Run Projections'!G69+'Long-Run Projections'!G83</f>
        <v>446.34209999999996</v>
      </c>
      <c r="G130" s="3">
        <f>'Long-Run Projections'!H69+'Long-Run Projections'!H83</f>
        <v>446.34209999999996</v>
      </c>
      <c r="H130" s="3">
        <f>'Long-Run Projections'!I69+'Long-Run Projections'!I83</f>
        <v>446.34209999999996</v>
      </c>
      <c r="I130" s="3">
        <f>'Long-Run Projections'!J69+'Long-Run Projections'!J83</f>
        <v>446.34209999999996</v>
      </c>
      <c r="J130" s="3">
        <f>'Long-Run Projections'!K69+'Long-Run Projections'!K83</f>
        <v>446.34209999999996</v>
      </c>
      <c r="K130" s="3">
        <f>'Long-Run Projections'!L69+'Long-Run Projections'!L83</f>
        <v>446.34209999999996</v>
      </c>
      <c r="L130" s="3">
        <f>'Long-Run Projections'!M69+'Long-Run Projections'!M83</f>
        <v>446.34209999999996</v>
      </c>
      <c r="M130" s="3">
        <f>'Long-Run Projections'!N69+'Long-Run Projections'!N83</f>
        <v>446.34209999999996</v>
      </c>
      <c r="N130" s="3">
        <f>'Long-Run Projections'!O69+'Long-Run Projections'!O83</f>
        <v>446.34209999999996</v>
      </c>
      <c r="O130" s="3">
        <f>'Long-Run Projections'!P69+'Long-Run Projections'!P83</f>
        <v>446.34209999999996</v>
      </c>
      <c r="Q130" s="3">
        <f t="shared" si="105"/>
        <v>446.34209999999996</v>
      </c>
      <c r="R130" s="3">
        <f t="shared" si="106"/>
        <v>0</v>
      </c>
    </row>
    <row r="131" spans="2:20" x14ac:dyDescent="0.25">
      <c r="C131" t="s">
        <v>50</v>
      </c>
      <c r="F131" s="3">
        <f>F129-F130</f>
        <v>435.49676000000011</v>
      </c>
      <c r="G131" s="3">
        <f t="shared" ref="G131:O131" si="108">G129-G130</f>
        <v>340.66926000000001</v>
      </c>
      <c r="H131" s="3">
        <f t="shared" si="108"/>
        <v>348.49176</v>
      </c>
      <c r="I131" s="3">
        <f t="shared" si="108"/>
        <v>356.31425999999999</v>
      </c>
      <c r="J131" s="3">
        <f t="shared" si="108"/>
        <v>364.13675999999998</v>
      </c>
      <c r="K131" s="3">
        <f t="shared" si="108"/>
        <v>371.9592600000002</v>
      </c>
      <c r="L131" s="3">
        <f t="shared" si="108"/>
        <v>379.78176000000019</v>
      </c>
      <c r="M131" s="3">
        <f t="shared" si="108"/>
        <v>387.60426000000018</v>
      </c>
      <c r="N131" s="3">
        <f t="shared" si="108"/>
        <v>395.42676000000017</v>
      </c>
      <c r="O131" s="3">
        <f t="shared" si="108"/>
        <v>403.24926000000016</v>
      </c>
      <c r="Q131" s="3">
        <f t="shared" si="105"/>
        <v>378.31301000000008</v>
      </c>
      <c r="R131" s="3">
        <f t="shared" si="106"/>
        <v>28.489379874349723</v>
      </c>
    </row>
    <row r="132" spans="2:20" x14ac:dyDescent="0.25">
      <c r="F132" s="3"/>
      <c r="G132" s="3"/>
      <c r="H132" s="3"/>
      <c r="I132" s="3"/>
      <c r="J132" s="3"/>
      <c r="K132" s="3"/>
      <c r="L132" s="3"/>
      <c r="M132" s="3"/>
      <c r="N132" s="3"/>
      <c r="O132" s="3"/>
      <c r="Q132" s="3"/>
      <c r="R132" s="3"/>
    </row>
    <row r="133" spans="2:20" x14ac:dyDescent="0.25">
      <c r="C133" t="s">
        <v>86</v>
      </c>
      <c r="F133" s="3">
        <f>F131+'Long-Run Projections'!G83</f>
        <v>690.49676000000011</v>
      </c>
      <c r="G133" s="3">
        <f>G131+'Long-Run Projections'!H83</f>
        <v>595.66926000000001</v>
      </c>
      <c r="H133" s="3">
        <f>H131+'Long-Run Projections'!I83</f>
        <v>603.49176</v>
      </c>
      <c r="I133" s="3">
        <f>I131+'Long-Run Projections'!J83</f>
        <v>611.31425999999999</v>
      </c>
      <c r="J133" s="3">
        <f>J131+'Long-Run Projections'!K83</f>
        <v>619.13675999999998</v>
      </c>
      <c r="K133" s="3">
        <f>K131+'Long-Run Projections'!L83</f>
        <v>626.9592600000002</v>
      </c>
      <c r="L133" s="3">
        <f>L131+'Long-Run Projections'!M83</f>
        <v>634.78176000000019</v>
      </c>
      <c r="M133" s="3">
        <f>M131+'Long-Run Projections'!N83</f>
        <v>642.60426000000018</v>
      </c>
      <c r="N133" s="3">
        <f>N131+'Long-Run Projections'!O83</f>
        <v>650.42676000000017</v>
      </c>
      <c r="O133" s="3">
        <f>O131+'Long-Run Projections'!P83</f>
        <v>658.24926000000016</v>
      </c>
      <c r="Q133" s="3">
        <f t="shared" ref="Q133" si="109">AVERAGE(F133:O133)</f>
        <v>633.31301000000008</v>
      </c>
      <c r="R133" s="3">
        <f t="shared" ref="R133" si="110">STDEV(F133:O133)</f>
        <v>28.489379874349723</v>
      </c>
      <c r="T133" s="33"/>
    </row>
    <row r="135" spans="2:20" x14ac:dyDescent="0.25">
      <c r="B135" t="s">
        <v>164</v>
      </c>
    </row>
    <row r="137" spans="2:20" x14ac:dyDescent="0.25">
      <c r="C137" t="s">
        <v>78</v>
      </c>
      <c r="F137" s="3">
        <f>('Long-Run Projections'!G14*'Long-Run Projections'!G28)+('Long-Run Projections'!G42)</f>
        <v>553.22</v>
      </c>
      <c r="G137" s="3">
        <f>('Long-Run Projections'!H14*'Long-Run Projections'!H28)+('Long-Run Projections'!H42)</f>
        <v>530.54999999999995</v>
      </c>
      <c r="H137" s="3">
        <f>('Long-Run Projections'!I14*'Long-Run Projections'!I28)+('Long-Run Projections'!I42)</f>
        <v>532.5</v>
      </c>
      <c r="I137" s="3">
        <f>('Long-Run Projections'!J14*'Long-Run Projections'!J28)+('Long-Run Projections'!J42)</f>
        <v>534.44999999999993</v>
      </c>
      <c r="J137" s="3">
        <f>('Long-Run Projections'!K14*'Long-Run Projections'!K28)+('Long-Run Projections'!K42)</f>
        <v>536.4</v>
      </c>
      <c r="K137" s="3">
        <f>('Long-Run Projections'!L14*'Long-Run Projections'!L28)+('Long-Run Projections'!L42)</f>
        <v>538.34999999999991</v>
      </c>
      <c r="L137" s="3">
        <f>('Long-Run Projections'!M14*'Long-Run Projections'!M28)+('Long-Run Projections'!M42)</f>
        <v>540.29999999999995</v>
      </c>
      <c r="M137" s="3">
        <f>('Long-Run Projections'!N14*'Long-Run Projections'!N28)+('Long-Run Projections'!N42)</f>
        <v>542.24999999999989</v>
      </c>
      <c r="N137" s="3">
        <f>('Long-Run Projections'!O14*'Long-Run Projections'!O28)+('Long-Run Projections'!O42)</f>
        <v>544.19999999999982</v>
      </c>
      <c r="O137" s="3">
        <f>('Long-Run Projections'!P14*'Long-Run Projections'!P28)+('Long-Run Projections'!P42)</f>
        <v>546.14999999999986</v>
      </c>
      <c r="Q137" s="3">
        <f t="shared" ref="Q137:Q141" si="111">AVERAGE(F137:O137)</f>
        <v>539.83699999999988</v>
      </c>
      <c r="R137" s="3">
        <f t="shared" ref="R137:R141" si="112">STDEV(F137:O137)</f>
        <v>6.8892445159102804</v>
      </c>
    </row>
    <row r="138" spans="2:20" x14ac:dyDescent="0.25">
      <c r="C138" t="s">
        <v>80</v>
      </c>
      <c r="F138" s="3">
        <f>'Long-Run Projections'!G56</f>
        <v>232.35</v>
      </c>
      <c r="G138" s="3">
        <f>'Long-Run Projections'!H56</f>
        <v>232.35</v>
      </c>
      <c r="H138" s="3">
        <f>'Long-Run Projections'!I56</f>
        <v>232.35</v>
      </c>
      <c r="I138" s="3">
        <f>'Long-Run Projections'!J56</f>
        <v>232.35</v>
      </c>
      <c r="J138" s="3">
        <f>'Long-Run Projections'!K56</f>
        <v>232.35</v>
      </c>
      <c r="K138" s="3">
        <f>'Long-Run Projections'!L56</f>
        <v>232.35</v>
      </c>
      <c r="L138" s="3">
        <f>'Long-Run Projections'!M56</f>
        <v>232.35</v>
      </c>
      <c r="M138" s="3">
        <f>'Long-Run Projections'!N56</f>
        <v>232.35</v>
      </c>
      <c r="N138" s="3">
        <f>'Long-Run Projections'!O56</f>
        <v>232.35</v>
      </c>
      <c r="O138" s="3">
        <f>'Long-Run Projections'!P56</f>
        <v>232.35</v>
      </c>
      <c r="Q138" s="3">
        <f t="shared" si="111"/>
        <v>232.34999999999997</v>
      </c>
      <c r="R138" s="3">
        <f t="shared" si="112"/>
        <v>2.995911226518785E-14</v>
      </c>
    </row>
    <row r="139" spans="2:20" x14ac:dyDescent="0.25">
      <c r="C139" t="s">
        <v>49</v>
      </c>
      <c r="F139" s="3">
        <f>F137-F138</f>
        <v>320.87</v>
      </c>
      <c r="G139" s="3">
        <f t="shared" ref="G139:O139" si="113">G137-G138</f>
        <v>298.19999999999993</v>
      </c>
      <c r="H139" s="3">
        <f t="shared" si="113"/>
        <v>300.14999999999998</v>
      </c>
      <c r="I139" s="3">
        <f t="shared" si="113"/>
        <v>302.09999999999991</v>
      </c>
      <c r="J139" s="3">
        <f t="shared" si="113"/>
        <v>304.04999999999995</v>
      </c>
      <c r="K139" s="3">
        <f t="shared" si="113"/>
        <v>305.99999999999989</v>
      </c>
      <c r="L139" s="3">
        <f t="shared" si="113"/>
        <v>307.94999999999993</v>
      </c>
      <c r="M139" s="3">
        <f t="shared" si="113"/>
        <v>309.89999999999986</v>
      </c>
      <c r="N139" s="3">
        <f t="shared" si="113"/>
        <v>311.8499999999998</v>
      </c>
      <c r="O139" s="3">
        <f t="shared" si="113"/>
        <v>313.79999999999984</v>
      </c>
      <c r="Q139" s="3">
        <f t="shared" si="111"/>
        <v>307.48699999999991</v>
      </c>
      <c r="R139" s="3">
        <f t="shared" si="112"/>
        <v>6.8892445159102795</v>
      </c>
    </row>
    <row r="140" spans="2:20" x14ac:dyDescent="0.25">
      <c r="C140" t="s">
        <v>81</v>
      </c>
      <c r="F140" s="3">
        <f>'Long-Run Projections'!G70+'Long-Run Projections'!G84</f>
        <v>422.77</v>
      </c>
      <c r="G140" s="3">
        <f>'Long-Run Projections'!H70+'Long-Run Projections'!H84</f>
        <v>422.77</v>
      </c>
      <c r="H140" s="3">
        <f>'Long-Run Projections'!I70+'Long-Run Projections'!I84</f>
        <v>422.77</v>
      </c>
      <c r="I140" s="3">
        <f>'Long-Run Projections'!J70+'Long-Run Projections'!J84</f>
        <v>422.77</v>
      </c>
      <c r="J140" s="3">
        <f>'Long-Run Projections'!K70+'Long-Run Projections'!K84</f>
        <v>422.77</v>
      </c>
      <c r="K140" s="3">
        <f>'Long-Run Projections'!L70+'Long-Run Projections'!L84</f>
        <v>422.77</v>
      </c>
      <c r="L140" s="3">
        <f>'Long-Run Projections'!M70+'Long-Run Projections'!M84</f>
        <v>422.77</v>
      </c>
      <c r="M140" s="3">
        <f>'Long-Run Projections'!N70+'Long-Run Projections'!N84</f>
        <v>422.77</v>
      </c>
      <c r="N140" s="3">
        <f>'Long-Run Projections'!O70+'Long-Run Projections'!O84</f>
        <v>422.77</v>
      </c>
      <c r="O140" s="3">
        <f>'Long-Run Projections'!P70+'Long-Run Projections'!P84</f>
        <v>422.77</v>
      </c>
      <c r="Q140" s="3">
        <f t="shared" si="111"/>
        <v>422.77</v>
      </c>
      <c r="R140" s="3">
        <f t="shared" si="112"/>
        <v>0</v>
      </c>
    </row>
    <row r="141" spans="2:20" x14ac:dyDescent="0.25">
      <c r="C141" t="s">
        <v>50</v>
      </c>
      <c r="F141" s="3">
        <f>F139-F140</f>
        <v>-101.89999999999998</v>
      </c>
      <c r="G141" s="3">
        <f t="shared" ref="G141:O141" si="114">G139-G140</f>
        <v>-124.57000000000005</v>
      </c>
      <c r="H141" s="3">
        <f t="shared" si="114"/>
        <v>-122.62</v>
      </c>
      <c r="I141" s="3">
        <f t="shared" si="114"/>
        <v>-120.67000000000007</v>
      </c>
      <c r="J141" s="3">
        <f t="shared" si="114"/>
        <v>-118.72000000000003</v>
      </c>
      <c r="K141" s="3">
        <f t="shared" si="114"/>
        <v>-116.7700000000001</v>
      </c>
      <c r="L141" s="3">
        <f t="shared" si="114"/>
        <v>-114.82000000000005</v>
      </c>
      <c r="M141" s="3">
        <f t="shared" si="114"/>
        <v>-112.87000000000012</v>
      </c>
      <c r="N141" s="3">
        <f t="shared" si="114"/>
        <v>-110.92000000000019</v>
      </c>
      <c r="O141" s="3">
        <f t="shared" si="114"/>
        <v>-108.97000000000014</v>
      </c>
      <c r="Q141" s="3">
        <f t="shared" si="111"/>
        <v>-115.28300000000009</v>
      </c>
      <c r="R141" s="3">
        <f t="shared" si="112"/>
        <v>6.8892445159102804</v>
      </c>
    </row>
    <row r="142" spans="2:20" x14ac:dyDescent="0.25">
      <c r="F142" s="3"/>
      <c r="G142" s="3"/>
      <c r="H142" s="3"/>
      <c r="I142" s="3"/>
      <c r="J142" s="3"/>
      <c r="K142" s="3"/>
      <c r="L142" s="3"/>
      <c r="M142" s="3"/>
      <c r="N142" s="3"/>
      <c r="O142" s="3"/>
      <c r="Q142" s="3"/>
      <c r="R142" s="3"/>
    </row>
    <row r="143" spans="2:20" x14ac:dyDescent="0.25">
      <c r="C143" t="s">
        <v>86</v>
      </c>
      <c r="F143" s="3">
        <f>F141+'Long-Run Projections'!G84</f>
        <v>153.10000000000002</v>
      </c>
      <c r="G143" s="3">
        <f>G141+'Long-Run Projections'!H84</f>
        <v>130.42999999999995</v>
      </c>
      <c r="H143" s="3">
        <f>H141+'Long-Run Projections'!I84</f>
        <v>132.38</v>
      </c>
      <c r="I143" s="3">
        <f>I141+'Long-Run Projections'!J84</f>
        <v>134.32999999999993</v>
      </c>
      <c r="J143" s="3">
        <f>J141+'Long-Run Projections'!K84</f>
        <v>136.27999999999997</v>
      </c>
      <c r="K143" s="3">
        <f>K141+'Long-Run Projections'!L84</f>
        <v>138.2299999999999</v>
      </c>
      <c r="L143" s="3">
        <f>L141+'Long-Run Projections'!M84</f>
        <v>140.17999999999995</v>
      </c>
      <c r="M143" s="3">
        <f>M141+'Long-Run Projections'!N84</f>
        <v>142.12999999999988</v>
      </c>
      <c r="N143" s="3">
        <f>N141+'Long-Run Projections'!O84</f>
        <v>144.07999999999981</v>
      </c>
      <c r="O143" s="3">
        <f>O141+'Long-Run Projections'!P84</f>
        <v>146.02999999999986</v>
      </c>
      <c r="Q143" s="3">
        <f t="shared" ref="Q143" si="115">AVERAGE(F143:O143)</f>
        <v>139.71699999999993</v>
      </c>
      <c r="R143" s="3">
        <f t="shared" ref="R143" si="116">STDEV(F143:O143)</f>
        <v>6.8892445159102795</v>
      </c>
      <c r="T143" s="33"/>
    </row>
    <row r="145" spans="1:20" x14ac:dyDescent="0.25">
      <c r="A145" s="16"/>
      <c r="B145" s="27" t="s">
        <v>108</v>
      </c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30"/>
      <c r="P145" s="27"/>
      <c r="Q145" s="27"/>
      <c r="R145" s="27"/>
    </row>
    <row r="146" spans="1:20" x14ac:dyDescent="0.25"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</row>
    <row r="147" spans="1:20" x14ac:dyDescent="0.25">
      <c r="B147" s="27"/>
      <c r="C147" s="27" t="s">
        <v>78</v>
      </c>
      <c r="D147" s="27"/>
      <c r="E147" s="27"/>
      <c r="F147" s="28">
        <f>(F77*('Production Plans'!$F$34)/100)+(F87*('Production Plans'!$F$35)/100)+(F97*('Production Plans'!$F$36)/100)+(F77*('Production Plans'!$F$37)/100)+(F87*('Production Plans'!$F$38)/100)+(F97*('Production Plans'!$F$39)/100)</f>
        <v>664.02166666666665</v>
      </c>
      <c r="G147" s="28">
        <f>(G87*('Production Plans'!$F$34)/100)+(G107*('Production Plans'!$F$35)/100)+(G77*('Production Plans'!$F$36)/100)+(G87*('Production Plans'!$F$37)/100)+(G107*('Production Plans'!$F$38)/100)+(G77*('Production Plans'!$F$39)/100)</f>
        <v>619.30333333333317</v>
      </c>
      <c r="H147" s="28">
        <f>(H107*('Production Plans'!$F$34)/100)+(H117*('Production Plans'!$F$35)/100)+(H87*('Production Plans'!$F$36)/100)+(H107*('Production Plans'!$F$37)/100)+(H117*('Production Plans'!$F$38)/100)+(H87*('Production Plans'!$F$39)/100)</f>
        <v>734.38833333333332</v>
      </c>
      <c r="I147" s="28">
        <f>(I117*('Production Plans'!$F$34)/100)+(I127*('Production Plans'!$F$35)/100)+(I107*('Production Plans'!$F$36)/100)+(I117*('Production Plans'!$F$37)/100)+(I127*('Production Plans'!$F$38)/100)+(I107*('Production Plans'!$F$39)/100)</f>
        <v>933.5374999999998</v>
      </c>
      <c r="J147" s="28">
        <f>(J127*('Production Plans'!$F$34)/100)+(J137*('Production Plans'!$F$35)/100)+(J117*('Production Plans'!$F$36)/100)+(J127*('Production Plans'!$F$37)/100)+(J137*('Production Plans'!$F$38)/100)+(J117*('Production Plans'!$F$39)/100)</f>
        <v>967.40333333333319</v>
      </c>
      <c r="K147" s="28">
        <f>(K137*('Production Plans'!$F$34)/100)+(K117*('Production Plans'!$F$35)/100)+(K127*('Production Plans'!$F$36)/100)+(K137*('Production Plans'!$F$37)/100)+(K117*('Production Plans'!$F$38)/100)+(K127*('Production Plans'!$F$39)/100)</f>
        <v>974.43583333333333</v>
      </c>
      <c r="L147" s="28">
        <f>(L117*('Production Plans'!$F$34)/100)+(L127*('Production Plans'!$F$35)/100)+(L137*('Production Plans'!$F$36)/100)+(L117*('Production Plans'!$F$37)/100)+(L127*('Production Plans'!$F$38)/100)+(L137*('Production Plans'!$F$39)/100)</f>
        <v>981.46833333333325</v>
      </c>
      <c r="M147" s="28">
        <f>(M127*('Production Plans'!$F$34)/100)+(M137*('Production Plans'!$F$35)/100)+(M117*('Production Plans'!$F$36)/100)+(M127*('Production Plans'!$F$37)/100)+(M137*('Production Plans'!$F$38)/100)+(M117*('Production Plans'!$F$39)/100)</f>
        <v>988.50083333333328</v>
      </c>
      <c r="N147" s="28">
        <f>(N137*('Production Plans'!$F$34)/100)+(N117*('Production Plans'!$F$35)/100)+(N127*('Production Plans'!$F$36)/100)+(N137*('Production Plans'!$F$37)/100)+(N117*('Production Plans'!$F$38)/100)+(N127*('Production Plans'!$F$39)/100)</f>
        <v>995.5333333333333</v>
      </c>
      <c r="O147" s="28">
        <f>(O117*('Production Plans'!$F$34)/100)+(O127*('Production Plans'!$F$35)/100)+(O137*('Production Plans'!$F$36)/100)+(O117*('Production Plans'!$F$37)/100)+(O127*('Production Plans'!$F$38)/100)+(O137*('Production Plans'!$F$39)/100)</f>
        <v>1002.5658333333331</v>
      </c>
      <c r="P147" s="27"/>
      <c r="Q147" s="28">
        <f t="shared" ref="Q147:Q151" si="117">AVERAGE(F147:O147)</f>
        <v>886.11583333333328</v>
      </c>
      <c r="R147" s="28">
        <f t="shared" ref="R147:R151" si="118">STDEV(F147:O147)</f>
        <v>151.03363756794778</v>
      </c>
    </row>
    <row r="148" spans="1:20" x14ac:dyDescent="0.25">
      <c r="B148" s="27"/>
      <c r="C148" s="27" t="s">
        <v>80</v>
      </c>
      <c r="D148" s="27"/>
      <c r="E148" s="27"/>
      <c r="F148" s="28">
        <f>(F78*('Production Plans'!$F$34)/100)+(F88*('Production Plans'!$F$35)/100)+(F98*('Production Plans'!$F$36)/100)+(F78*('Production Plans'!$F$37)/100)+(F88*('Production Plans'!$F$38)/100)+(F98*('Production Plans'!$F$39)/100)</f>
        <v>384.24647949999985</v>
      </c>
      <c r="G148" s="28">
        <f>(G88*('Production Plans'!$F$34)/100)+(G108*('Production Plans'!$F$35)/100)+(G78*('Production Plans'!$F$36)/100)+(G88*('Production Plans'!$F$37)/100)+(G108*('Production Plans'!$F$38)/100)+(G78*('Production Plans'!$F$39)/100)</f>
        <v>394.56549449999989</v>
      </c>
      <c r="H148" s="28">
        <f>(H108*('Production Plans'!$F$34)/100)+(H118*('Production Plans'!$F$35)/100)+(H88*('Production Plans'!$F$36)/100)+(H108*('Production Plans'!$F$37)/100)+(H118*('Production Plans'!$F$38)/100)+(H88*('Production Plans'!$F$39)/100)</f>
        <v>373.84397833333321</v>
      </c>
      <c r="I148" s="28">
        <f>(I118*('Production Plans'!$F$34)/100)+(I128*('Production Plans'!$F$35)/100)+(I108*('Production Plans'!$F$36)/100)+(I118*('Production Plans'!$F$37)/100)+(I128*('Production Plans'!$F$38)/100)+(I108*('Production Plans'!$F$39)/100)</f>
        <v>378.51414333333327</v>
      </c>
      <c r="J148" s="28">
        <f>(J128*('Production Plans'!$F$34)/100)+(J138*('Production Plans'!$F$35)/100)+(J118*('Production Plans'!$F$36)/100)+(J128*('Production Plans'!$F$37)/100)+(J138*('Production Plans'!$F$38)/100)+(J118*('Production Plans'!$F$39)/100)</f>
        <v>365.16226166666655</v>
      </c>
      <c r="K148" s="28">
        <f>(K138*('Production Plans'!$F$34)/100)+(K118*('Production Plans'!$F$35)/100)+(K128*('Production Plans'!$F$36)/100)+(K138*('Production Plans'!$F$37)/100)+(K118*('Production Plans'!$F$38)/100)+(K128*('Production Plans'!$F$39)/100)</f>
        <v>365.16226166666661</v>
      </c>
      <c r="L148" s="28">
        <f>(L118*('Production Plans'!$F$34)/100)+(L128*('Production Plans'!$F$35)/100)+(L138*('Production Plans'!$F$36)/100)+(L118*('Production Plans'!$F$37)/100)+(L128*('Production Plans'!$F$38)/100)+(L138*('Production Plans'!$F$39)/100)</f>
        <v>365.16226166666661</v>
      </c>
      <c r="M148" s="28">
        <f>(M128*('Production Plans'!$F$34)/100)+(M138*('Production Plans'!$F$35)/100)+(M118*('Production Plans'!$F$36)/100)+(M128*('Production Plans'!$F$37)/100)+(M138*('Production Plans'!$F$38)/100)+(M118*('Production Plans'!$F$39)/100)</f>
        <v>365.16226166666655</v>
      </c>
      <c r="N148" s="28">
        <f>(N138*('Production Plans'!$F$34)/100)+(N118*('Production Plans'!$F$35)/100)+(N128*('Production Plans'!$F$36)/100)+(N138*('Production Plans'!$F$37)/100)+(N118*('Production Plans'!$F$38)/100)+(N128*('Production Plans'!$F$39)/100)</f>
        <v>365.16226166666661</v>
      </c>
      <c r="O148" s="28">
        <f>(O118*('Production Plans'!$F$34)/100)+(O128*('Production Plans'!$F$35)/100)+(O138*('Production Plans'!$F$36)/100)+(O118*('Production Plans'!$F$37)/100)+(O128*('Production Plans'!$F$38)/100)+(O138*('Production Plans'!$F$39)/100)</f>
        <v>365.16226166666661</v>
      </c>
      <c r="P148" s="27"/>
      <c r="Q148" s="28">
        <f t="shared" si="117"/>
        <v>372.21436656666657</v>
      </c>
      <c r="R148" s="28">
        <f t="shared" si="118"/>
        <v>10.461997814716701</v>
      </c>
    </row>
    <row r="149" spans="1:20" x14ac:dyDescent="0.25">
      <c r="B149" s="27"/>
      <c r="C149" s="27" t="s">
        <v>49</v>
      </c>
      <c r="D149" s="27"/>
      <c r="E149" s="27"/>
      <c r="F149" s="28">
        <f>(F79*('Production Plans'!$F$34)/100)+(F89*('Production Plans'!$F$35)/100)+(F99*('Production Plans'!$F$36)/100)+(F79*('Production Plans'!$F$37)/100)+(F89*('Production Plans'!$F$38)/100)+(F99*('Production Plans'!$F$39)/100)</f>
        <v>279.77518716666663</v>
      </c>
      <c r="G149" s="28">
        <f>(G89*('Production Plans'!$F$34)/100)+(G109*('Production Plans'!$F$35)/100)+(G79*('Production Plans'!$F$36)/100)+(G89*('Production Plans'!$F$37)/100)+(G109*('Production Plans'!$F$38)/100)+(G79*('Production Plans'!$F$39)/100)</f>
        <v>224.73783883333329</v>
      </c>
      <c r="H149" s="28">
        <f>(H109*('Production Plans'!$F$34)/100)+(H119*('Production Plans'!$F$35)/100)+(H89*('Production Plans'!$F$36)/100)+(H109*('Production Plans'!$F$37)/100)+(H119*('Production Plans'!$F$38)/100)+(H89*('Production Plans'!$F$39)/100)</f>
        <v>360.544355</v>
      </c>
      <c r="I149" s="28">
        <f>(I119*('Production Plans'!$F$34)/100)+(I129*('Production Plans'!$F$35)/100)+(I109*('Production Plans'!$F$36)/100)+(I119*('Production Plans'!$F$37)/100)+(I129*('Production Plans'!$F$38)/100)+(I109*('Production Plans'!$F$39)/100)</f>
        <v>555.0233566666667</v>
      </c>
      <c r="J149" s="28">
        <f>(J129*('Production Plans'!$F$34)/100)+(J139*('Production Plans'!$F$35)/100)+(J119*('Production Plans'!$F$36)/100)+(J129*('Production Plans'!$F$37)/100)+(J139*('Production Plans'!$F$38)/100)+(J119*('Production Plans'!$F$39)/100)</f>
        <v>602.24107166666647</v>
      </c>
      <c r="K149" s="28">
        <f>(K139*('Production Plans'!$F$34)/100)+(K119*('Production Plans'!$F$35)/100)+(K129*('Production Plans'!$F$36)/100)+(K139*('Production Plans'!$F$37)/100)+(K119*('Production Plans'!$F$38)/100)+(K129*('Production Plans'!$F$39)/100)</f>
        <v>609.27357166666661</v>
      </c>
      <c r="L149" s="28">
        <f>(L119*('Production Plans'!$F$34)/100)+(L129*('Production Plans'!$F$35)/100)+(L139*('Production Plans'!$F$36)/100)+(L119*('Production Plans'!$F$37)/100)+(L129*('Production Plans'!$F$38)/100)+(L139*('Production Plans'!$F$39)/100)</f>
        <v>616.30607166666653</v>
      </c>
      <c r="M149" s="28">
        <f>(M129*('Production Plans'!$F$34)/100)+(M139*('Production Plans'!$F$35)/100)+(M119*('Production Plans'!$F$36)/100)+(M129*('Production Plans'!$F$37)/100)+(M139*('Production Plans'!$F$38)/100)+(M119*('Production Plans'!$F$39)/100)</f>
        <v>623.33857166666667</v>
      </c>
      <c r="N149" s="28">
        <f>(N139*('Production Plans'!$F$34)/100)+(N119*('Production Plans'!$F$35)/100)+(N129*('Production Plans'!$F$36)/100)+(N139*('Production Plans'!$F$37)/100)+(N119*('Production Plans'!$F$38)/100)+(N129*('Production Plans'!$F$39)/100)</f>
        <v>630.37107166666647</v>
      </c>
      <c r="O149" s="28">
        <f>(O119*('Production Plans'!$F$34)/100)+(O129*('Production Plans'!$F$35)/100)+(O139*('Production Plans'!$F$36)/100)+(O119*('Production Plans'!$F$37)/100)+(O129*('Production Plans'!$F$38)/100)+(O139*('Production Plans'!$F$39)/100)</f>
        <v>637.40357166666649</v>
      </c>
      <c r="P149" s="27"/>
      <c r="Q149" s="28">
        <f t="shared" si="117"/>
        <v>513.90146676666654</v>
      </c>
      <c r="R149" s="28">
        <f t="shared" si="118"/>
        <v>160.49263675672069</v>
      </c>
    </row>
    <row r="150" spans="1:20" x14ac:dyDescent="0.25">
      <c r="B150" s="27"/>
      <c r="C150" s="27" t="s">
        <v>81</v>
      </c>
      <c r="D150" s="27"/>
      <c r="E150" s="27"/>
      <c r="F150" s="28">
        <f>(F80*('Production Plans'!$F$34)/100)+(F90*('Production Plans'!$F$35)/100)+(F100*('Production Plans'!$F$36)/100)+(F80*('Production Plans'!$F$37)/100)+(F90*('Production Plans'!$F$38)/100)+(F100*('Production Plans'!$F$39)/100)</f>
        <v>409.83467333333328</v>
      </c>
      <c r="G150" s="28">
        <f>(G90*('Production Plans'!$F$34)/100)+(G110*('Production Plans'!$F$35)/100)+(G80*('Production Plans'!$F$36)/100)+(G90*('Production Plans'!$F$37)/100)+(G110*('Production Plans'!$F$38)/100)+(G80*('Production Plans'!$F$39)/100)</f>
        <v>429.63666666666654</v>
      </c>
      <c r="H150" s="28">
        <f>(H110*('Production Plans'!$F$34)/100)+(H120*('Production Plans'!$F$35)/100)+(H90*('Production Plans'!$F$36)/100)+(H110*('Production Plans'!$F$37)/100)+(H120*('Production Plans'!$F$38)/100)+(H90*('Production Plans'!$F$39)/100)</f>
        <v>464.05333333333328</v>
      </c>
      <c r="I150" s="28">
        <f>(I120*('Production Plans'!$F$34)/100)+(I130*('Production Plans'!$F$35)/100)+(I110*('Production Plans'!$F$36)/100)+(I120*('Production Plans'!$F$37)/100)+(I130*('Production Plans'!$F$38)/100)+(I110*('Production Plans'!$F$39)/100)</f>
        <v>462.65403333333336</v>
      </c>
      <c r="J150" s="28">
        <f>(J130*('Production Plans'!$F$34)/100)+(J140*('Production Plans'!$F$35)/100)+(J120*('Production Plans'!$F$36)/100)+(J130*('Production Plans'!$F$37)/100)+(J140*('Production Plans'!$F$38)/100)+(J120*('Production Plans'!$F$39)/100)</f>
        <v>458.61736666666661</v>
      </c>
      <c r="K150" s="28">
        <f>(K140*('Production Plans'!$F$34)/100)+(K120*('Production Plans'!$F$35)/100)+(K130*('Production Plans'!$F$36)/100)+(K140*('Production Plans'!$F$37)/100)+(K120*('Production Plans'!$F$38)/100)+(K130*('Production Plans'!$F$39)/100)</f>
        <v>458.6173666666665</v>
      </c>
      <c r="L150" s="28">
        <f>(L120*('Production Plans'!$F$34)/100)+(L130*('Production Plans'!$F$35)/100)+(L140*('Production Plans'!$F$36)/100)+(L120*('Production Plans'!$F$37)/100)+(L130*('Production Plans'!$F$38)/100)+(L140*('Production Plans'!$F$39)/100)</f>
        <v>458.61736666666656</v>
      </c>
      <c r="M150" s="28">
        <f>(M130*('Production Plans'!$F$34)/100)+(M140*('Production Plans'!$F$35)/100)+(M120*('Production Plans'!$F$36)/100)+(M130*('Production Plans'!$F$37)/100)+(M140*('Production Plans'!$F$38)/100)+(M120*('Production Plans'!$F$39)/100)</f>
        <v>458.61736666666661</v>
      </c>
      <c r="N150" s="28">
        <f>(N140*('Production Plans'!$F$34)/100)+(N120*('Production Plans'!$F$35)/100)+(N130*('Production Plans'!$F$36)/100)+(N140*('Production Plans'!$F$37)/100)+(N120*('Production Plans'!$F$38)/100)+(N130*('Production Plans'!$F$39)/100)</f>
        <v>458.6173666666665</v>
      </c>
      <c r="O150" s="28">
        <f>(O120*('Production Plans'!$F$34)/100)+(O130*('Production Plans'!$F$35)/100)+(O140*('Production Plans'!$F$36)/100)+(O120*('Production Plans'!$F$37)/100)+(O130*('Production Plans'!$F$38)/100)+(O140*('Production Plans'!$F$39)/100)</f>
        <v>458.61736666666656</v>
      </c>
      <c r="P150" s="27"/>
      <c r="Q150" s="28">
        <f t="shared" si="117"/>
        <v>451.78829066666651</v>
      </c>
      <c r="R150" s="28">
        <f t="shared" si="118"/>
        <v>17.635550467372472</v>
      </c>
    </row>
    <row r="151" spans="1:20" x14ac:dyDescent="0.25">
      <c r="B151" s="27"/>
      <c r="C151" s="27" t="s">
        <v>50</v>
      </c>
      <c r="D151" s="27"/>
      <c r="E151" s="27"/>
      <c r="F151" s="28">
        <f>(F81*('Production Plans'!$F$34)/100)+(F91*('Production Plans'!$F$35)/100)+(F101*('Production Plans'!$F$36)/100)+(F81*('Production Plans'!$F$37)/100)+(F91*('Production Plans'!$F$38)/100)+(F101*('Production Plans'!$F$39)/100)</f>
        <v>-130.05948616666663</v>
      </c>
      <c r="G151" s="28">
        <f>(G91*('Production Plans'!$F$34)/100)+(G111*('Production Plans'!$F$35)/100)+(G81*('Production Plans'!$F$36)/100)+(G91*('Production Plans'!$F$37)/100)+(G111*('Production Plans'!$F$38)/100)+(G81*('Production Plans'!$F$39)/100)</f>
        <v>-204.89882783333329</v>
      </c>
      <c r="H151" s="28">
        <f>(H111*('Production Plans'!$F$34)/100)+(H121*('Production Plans'!$F$35)/100)+(H91*('Production Plans'!$F$36)/100)+(H111*('Production Plans'!$F$37)/100)+(H121*('Production Plans'!$F$38)/100)+(H91*('Production Plans'!$F$39)/100)</f>
        <v>-103.50897833333332</v>
      </c>
      <c r="I151" s="28">
        <f>(I121*('Production Plans'!$F$34)/100)+(I131*('Production Plans'!$F$35)/100)+(I111*('Production Plans'!$F$36)/100)+(I121*('Production Plans'!$F$37)/100)+(I131*('Production Plans'!$F$38)/100)+(I111*('Production Plans'!$F$39)/100)</f>
        <v>92.369323333333256</v>
      </c>
      <c r="J151" s="28">
        <f>(J131*('Production Plans'!$F$34)/100)+(J141*('Production Plans'!$F$35)/100)+(J121*('Production Plans'!$F$36)/100)+(J131*('Production Plans'!$F$37)/100)+(J141*('Production Plans'!$F$38)/100)+(J121*('Production Plans'!$F$39)/100)</f>
        <v>143.62370499999997</v>
      </c>
      <c r="K151" s="28">
        <f>(K141*('Production Plans'!$F$34)/100)+(K121*('Production Plans'!$F$35)/100)+(K131*('Production Plans'!$F$36)/100)+(K141*('Production Plans'!$F$37)/100)+(K121*('Production Plans'!$F$38)/100)+(K131*('Production Plans'!$F$39)/100)</f>
        <v>150.656205</v>
      </c>
      <c r="L151" s="28">
        <f>(L121*('Production Plans'!$F$34)/100)+(L131*('Production Plans'!$F$35)/100)+(L141*('Production Plans'!$F$36)/100)+(L121*('Production Plans'!$F$37)/100)+(L131*('Production Plans'!$F$38)/100)+(L141*('Production Plans'!$F$39)/100)</f>
        <v>157.68870500000008</v>
      </c>
      <c r="M151" s="28">
        <f>(M131*('Production Plans'!$F$34)/100)+(M141*('Production Plans'!$F$35)/100)+(M121*('Production Plans'!$F$36)/100)+(M131*('Production Plans'!$F$37)/100)+(M141*('Production Plans'!$F$38)/100)+(M121*('Production Plans'!$F$39)/100)</f>
        <v>164.72120500000003</v>
      </c>
      <c r="N151" s="28">
        <f>(N141*('Production Plans'!$F$34)/100)+(N121*('Production Plans'!$F$35)/100)+(N131*('Production Plans'!$F$36)/100)+(N141*('Production Plans'!$F$37)/100)+(N121*('Production Plans'!$F$38)/100)+(N131*('Production Plans'!$F$39)/100)</f>
        <v>171.75370499999994</v>
      </c>
      <c r="O151" s="28">
        <f>(O121*('Production Plans'!$F$34)/100)+(O131*('Production Plans'!$F$35)/100)+(O141*('Production Plans'!$F$36)/100)+(O121*('Production Plans'!$F$37)/100)+(O131*('Production Plans'!$F$38)/100)+(O141*('Production Plans'!$F$39)/100)</f>
        <v>178.786205</v>
      </c>
      <c r="P151" s="27"/>
      <c r="Q151" s="28">
        <f t="shared" si="117"/>
        <v>62.113176099999997</v>
      </c>
      <c r="R151" s="28">
        <f t="shared" si="118"/>
        <v>147.70557790922027</v>
      </c>
    </row>
    <row r="152" spans="1:20" x14ac:dyDescent="0.25">
      <c r="B152" s="27"/>
      <c r="C152" s="27"/>
      <c r="D152" s="27"/>
      <c r="E152" s="27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7"/>
      <c r="Q152" s="27"/>
      <c r="R152" s="27"/>
    </row>
    <row r="153" spans="1:20" x14ac:dyDescent="0.25">
      <c r="B153" s="27"/>
      <c r="C153" s="27" t="s">
        <v>86</v>
      </c>
      <c r="D153" s="27"/>
      <c r="E153" s="27"/>
      <c r="F153" s="28">
        <f>(F83*('Production Plans'!$F$34)/100)+(F93*('Production Plans'!$F$35)/100)+(F103*('Production Plans'!$F$36)/100)+(F83*('Production Plans'!$F$37)/100)+(F93*('Production Plans'!$F$38)/100)+(F103*('Production Plans'!$F$39)/100)</f>
        <v>124.94051383333334</v>
      </c>
      <c r="G153" s="28">
        <f>(G93*('Production Plans'!$F$34)/100)+(G113*('Production Plans'!$F$35)/100)+(G83*('Production Plans'!$F$36)/100)+(G93*('Production Plans'!$F$37)/100)+(G113*('Production Plans'!$F$38)/100)+(G83*('Production Plans'!$F$39)/100)</f>
        <v>50.101172166666657</v>
      </c>
      <c r="H153" s="28">
        <f>(H113*('Production Plans'!$F$34)/100)+(H123*('Production Plans'!$F$35)/100)+(H93*('Production Plans'!$F$36)/100)+(H113*('Production Plans'!$F$37)/100)+(H123*('Production Plans'!$F$38)/100)+(H93*('Production Plans'!$F$39)/100)</f>
        <v>151.49102166666665</v>
      </c>
      <c r="I153" s="28">
        <f>(I123*('Production Plans'!$F$34)/100)+(I133*('Production Plans'!$F$35)/100)+(I113*('Production Plans'!$F$36)/100)+(I123*('Production Plans'!$F$37)/100)+(I133*('Production Plans'!$F$38)/100)+(I113*('Production Plans'!$F$39)/100)</f>
        <v>347.36932333333317</v>
      </c>
      <c r="J153" s="28">
        <f>(J133*('Production Plans'!$F$34)/100)+(J143*('Production Plans'!$F$35)/100)+(J123*('Production Plans'!$F$36)/100)+(J133*('Production Plans'!$F$37)/100)+(J143*('Production Plans'!$F$38)/100)+(J123*('Production Plans'!$F$39)/100)</f>
        <v>398.62370499999986</v>
      </c>
      <c r="K153" s="28">
        <f>(K143*('Production Plans'!$F$34)/100)+(K123*('Production Plans'!$F$35)/100)+(K133*('Production Plans'!$F$36)/100)+(K143*('Production Plans'!$F$37)/100)+(K123*('Production Plans'!$F$38)/100)+(K133*('Production Plans'!$F$39)/100)</f>
        <v>405.656205</v>
      </c>
      <c r="L153" s="28">
        <f>(L123*('Production Plans'!$F$34)/100)+(L133*('Production Plans'!$F$35)/100)+(L143*('Production Plans'!$F$36)/100)+(L123*('Production Plans'!$F$37)/100)+(L133*('Production Plans'!$F$38)/100)+(L143*('Production Plans'!$F$39)/100)</f>
        <v>412.68870500000003</v>
      </c>
      <c r="M153" s="28">
        <f>(M133*('Production Plans'!$F$34)/100)+(M143*('Production Plans'!$F$35)/100)+(M123*('Production Plans'!$F$36)/100)+(M133*('Production Plans'!$F$37)/100)+(M143*('Production Plans'!$F$38)/100)+(M123*('Production Plans'!$F$39)/100)</f>
        <v>419.72120500000005</v>
      </c>
      <c r="N153" s="28">
        <f>(N143*('Production Plans'!$F$34)/100)+(N123*('Production Plans'!$F$35)/100)+(N133*('Production Plans'!$F$36)/100)+(N143*('Production Plans'!$F$37)/100)+(N123*('Production Plans'!$F$38)/100)+(N133*('Production Plans'!$F$39)/100)</f>
        <v>426.75370499999991</v>
      </c>
      <c r="O153" s="28">
        <f>(O123*('Production Plans'!$F$34)/100)+(O133*('Production Plans'!$F$35)/100)+(O143*('Production Plans'!$F$36)/100)+(O123*('Production Plans'!$F$37)/100)+(O133*('Production Plans'!$F$38)/100)+(O143*('Production Plans'!$F$39)/100)</f>
        <v>433.78620499999994</v>
      </c>
      <c r="P153" s="27"/>
      <c r="Q153" s="28">
        <f t="shared" ref="Q153" si="119">AVERAGE(F153:O153)</f>
        <v>317.11317609999998</v>
      </c>
      <c r="R153" s="28">
        <f t="shared" ref="R153" si="120">STDEV(F153:O153)</f>
        <v>147.70557790922024</v>
      </c>
      <c r="T153" s="34"/>
    </row>
    <row r="154" spans="1:20" x14ac:dyDescent="0.25"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T154" s="40"/>
    </row>
    <row r="155" spans="1:20" x14ac:dyDescent="0.25">
      <c r="F155" s="3"/>
      <c r="G155" s="3"/>
      <c r="H155" s="3"/>
      <c r="I155" s="3"/>
      <c r="J155" s="3"/>
      <c r="K155" s="3"/>
      <c r="L155" s="3"/>
      <c r="M155" s="3"/>
      <c r="N155" s="3"/>
      <c r="O155" s="3"/>
      <c r="Q155" s="3"/>
      <c r="R155" s="3"/>
      <c r="T155" s="37"/>
    </row>
    <row r="156" spans="1:20" x14ac:dyDescent="0.25">
      <c r="D156" s="38"/>
      <c r="F156" s="3"/>
      <c r="G156" s="3"/>
      <c r="H156" s="3"/>
      <c r="I156" s="3"/>
      <c r="J156" s="3"/>
      <c r="K156" s="3"/>
      <c r="L156" s="3"/>
      <c r="M156" s="3"/>
      <c r="N156" s="3"/>
      <c r="O156" s="3"/>
      <c r="Q156" s="3"/>
      <c r="R156" s="3"/>
    </row>
    <row r="157" spans="1:20" x14ac:dyDescent="0.25"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Q157" s="3"/>
      <c r="R157" s="3"/>
      <c r="T157" s="37"/>
    </row>
    <row r="158" spans="1:20" x14ac:dyDescent="0.25">
      <c r="Q158" s="3"/>
      <c r="R158" s="3"/>
    </row>
    <row r="159" spans="1:20" x14ac:dyDescent="0.25">
      <c r="F159" s="3"/>
      <c r="G159" s="3"/>
      <c r="H159" s="3"/>
      <c r="I159" s="3"/>
      <c r="J159" s="3"/>
      <c r="K159" s="3"/>
      <c r="L159" s="3"/>
      <c r="M159" s="3"/>
      <c r="N159" s="3"/>
      <c r="O159" s="3"/>
      <c r="Q159" s="3"/>
      <c r="R159" s="3"/>
    </row>
  </sheetData>
  <sheetProtection sheet="1" objects="1" scenarios="1"/>
  <pageMargins left="0.7" right="0.7" top="0.75" bottom="0.75" header="0.3" footer="0.3"/>
  <pageSetup scale="54" orientation="portrait" r:id="rId1"/>
  <ignoredErrors>
    <ignoredError sqref="F10 F20 G10:O10 G20:O20 F40 G40:O40 F50 G50:O50 F60 G60:O60 F80 G80:O80 F90 G90:O90 F100 G100:O100 F110 G110:O110 F120 G120:O120 F130 G130:O130 F140 G140:O14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4"/>
  <sheetViews>
    <sheetView zoomScale="150" zoomScaleNormal="150" workbookViewId="0">
      <pane xSplit="7" ySplit="2" topLeftCell="R3" activePane="bottomRight" state="frozen"/>
      <selection pane="topRight" activeCell="H1" sqref="H1"/>
      <selection pane="bottomLeft" activeCell="A3" sqref="A3"/>
      <selection pane="bottomRight" activeCell="C1" sqref="C1"/>
    </sheetView>
  </sheetViews>
  <sheetFormatPr defaultRowHeight="15" x14ac:dyDescent="0.25"/>
  <sheetData>
    <row r="1" spans="1:20" x14ac:dyDescent="0.25">
      <c r="A1" s="42" t="s">
        <v>212</v>
      </c>
      <c r="C1" s="43">
        <v>7.4999999999999997E-2</v>
      </c>
    </row>
    <row r="2" spans="1:20" x14ac:dyDescent="0.25">
      <c r="H2" s="45" t="s">
        <v>54</v>
      </c>
      <c r="I2" s="45" t="s">
        <v>55</v>
      </c>
      <c r="J2" s="45" t="s">
        <v>56</v>
      </c>
      <c r="K2" s="45" t="s">
        <v>57</v>
      </c>
      <c r="L2" s="45" t="s">
        <v>58</v>
      </c>
      <c r="M2" s="45" t="s">
        <v>59</v>
      </c>
      <c r="N2" s="45" t="s">
        <v>60</v>
      </c>
      <c r="O2" s="45" t="s">
        <v>61</v>
      </c>
      <c r="P2" s="45" t="s">
        <v>62</v>
      </c>
      <c r="Q2" s="45" t="s">
        <v>63</v>
      </c>
      <c r="S2" s="45" t="s">
        <v>84</v>
      </c>
      <c r="T2" s="45" t="s">
        <v>85</v>
      </c>
    </row>
    <row r="4" spans="1:20" x14ac:dyDescent="0.25">
      <c r="B4" s="1" t="str">
        <f>'Annual Returns'!$B$25</f>
        <v>Conventional Corn/Soybean Crop Rotation (per acre)</v>
      </c>
      <c r="C4" s="1"/>
      <c r="D4" s="1"/>
      <c r="E4" s="1"/>
      <c r="F4" s="1"/>
      <c r="G4" s="1"/>
    </row>
    <row r="5" spans="1:20" x14ac:dyDescent="0.25">
      <c r="B5" s="1"/>
      <c r="C5" s="1"/>
      <c r="D5" s="1"/>
      <c r="E5" s="1"/>
      <c r="F5" s="1"/>
      <c r="G5" s="1"/>
    </row>
    <row r="6" spans="1:20" x14ac:dyDescent="0.25">
      <c r="B6" s="1"/>
      <c r="C6" s="1" t="str">
        <f>'Annual Returns'!$C$27</f>
        <v>Gross Return</v>
      </c>
      <c r="D6" s="1"/>
      <c r="E6" s="1"/>
      <c r="F6" s="1"/>
      <c r="G6" s="1"/>
      <c r="H6" s="44">
        <f>'Annual Returns'!$F$27</f>
        <v>824.4</v>
      </c>
      <c r="I6" s="44">
        <f>'Annual Returns'!$G$27</f>
        <v>775.65000000000009</v>
      </c>
      <c r="J6" s="44">
        <f>'Annual Returns'!$H$27</f>
        <v>782.45</v>
      </c>
      <c r="K6" s="44">
        <f>'Annual Returns'!$I$27</f>
        <v>789.25</v>
      </c>
      <c r="L6" s="44">
        <f>'Annual Returns'!$J$27</f>
        <v>796.05000000000007</v>
      </c>
      <c r="M6" s="44">
        <f>'Annual Returns'!$K$27</f>
        <v>802.85</v>
      </c>
      <c r="N6" s="44">
        <f>'Annual Returns'!$L$27</f>
        <v>809.65000000000009</v>
      </c>
      <c r="O6" s="44">
        <f>'Annual Returns'!$M$27</f>
        <v>816.45</v>
      </c>
      <c r="P6" s="44">
        <f>'Annual Returns'!$N$27</f>
        <v>823.25</v>
      </c>
      <c r="Q6" s="44">
        <f>'Annual Returns'!$O$27</f>
        <v>830.05000000000007</v>
      </c>
      <c r="S6" s="44">
        <f t="shared" ref="S6:S10" si="0">AVERAGE(H6:Q6)</f>
        <v>805.00500000000011</v>
      </c>
      <c r="T6" s="44">
        <f t="shared" ref="T6:T10" si="1">STDEV(H6:Q6)</f>
        <v>18.833664451366502</v>
      </c>
    </row>
    <row r="7" spans="1:20" x14ac:dyDescent="0.25">
      <c r="B7" s="1"/>
      <c r="C7" s="1" t="str">
        <f>'Annual Returns'!$C$28</f>
        <v>Variable Cost</v>
      </c>
      <c r="D7" s="1"/>
      <c r="E7" s="1"/>
      <c r="F7" s="1"/>
      <c r="G7" s="1"/>
      <c r="H7" s="44">
        <f>'Annual Returns'!$F$28</f>
        <v>474.3966375</v>
      </c>
      <c r="I7" s="44">
        <f>'Annual Returns'!$G$28</f>
        <v>474.3966375</v>
      </c>
      <c r="J7" s="44">
        <f>'Annual Returns'!$H$28</f>
        <v>474.3966375</v>
      </c>
      <c r="K7" s="44">
        <f>'Annual Returns'!$I$28</f>
        <v>474.3966375</v>
      </c>
      <c r="L7" s="44">
        <f>'Annual Returns'!$J$28</f>
        <v>474.3966375</v>
      </c>
      <c r="M7" s="44">
        <f>'Annual Returns'!$K$28</f>
        <v>474.3966375</v>
      </c>
      <c r="N7" s="44">
        <f>'Annual Returns'!$L$28</f>
        <v>474.3966375</v>
      </c>
      <c r="O7" s="44">
        <f>'Annual Returns'!$M$28</f>
        <v>474.3966375</v>
      </c>
      <c r="P7" s="44">
        <f>'Annual Returns'!$N$28</f>
        <v>474.3966375</v>
      </c>
      <c r="Q7" s="44">
        <f>'Annual Returns'!$O$28</f>
        <v>474.3966375</v>
      </c>
      <c r="S7" s="44">
        <f t="shared" si="0"/>
        <v>474.3966375</v>
      </c>
      <c r="T7" s="44">
        <f t="shared" si="1"/>
        <v>0</v>
      </c>
    </row>
    <row r="8" spans="1:20" x14ac:dyDescent="0.25">
      <c r="B8" s="1"/>
      <c r="C8" s="1" t="str">
        <f>'Annual Returns'!$C$29</f>
        <v>Contribution Margin</v>
      </c>
      <c r="D8" s="1"/>
      <c r="E8" s="1"/>
      <c r="F8" s="1"/>
      <c r="G8" s="1"/>
      <c r="H8" s="44">
        <f>'Annual Returns'!$F$29</f>
        <v>350.00336249999998</v>
      </c>
      <c r="I8" s="44">
        <f>'Annual Returns'!$G$29</f>
        <v>301.25336250000009</v>
      </c>
      <c r="J8" s="44">
        <f>'Annual Returns'!$H$29</f>
        <v>308.05336250000005</v>
      </c>
      <c r="K8" s="44">
        <f>'Annual Returns'!$I$29</f>
        <v>314.85336250000012</v>
      </c>
      <c r="L8" s="44">
        <f>'Annual Returns'!$J$29</f>
        <v>321.65336250000007</v>
      </c>
      <c r="M8" s="44">
        <f>'Annual Returns'!$K$29</f>
        <v>328.45336250000003</v>
      </c>
      <c r="N8" s="44">
        <f>'Annual Returns'!$L$29</f>
        <v>335.25336250000009</v>
      </c>
      <c r="O8" s="44">
        <f>'Annual Returns'!$M$29</f>
        <v>342.05336250000005</v>
      </c>
      <c r="P8" s="44">
        <f>'Annual Returns'!$N$29</f>
        <v>348.85336250000012</v>
      </c>
      <c r="Q8" s="44">
        <f>'Annual Returns'!$O$29</f>
        <v>355.65336250000007</v>
      </c>
      <c r="S8" s="44">
        <f t="shared" si="0"/>
        <v>330.6083625</v>
      </c>
      <c r="T8" s="44">
        <f t="shared" si="1"/>
        <v>18.833664451366502</v>
      </c>
    </row>
    <row r="9" spans="1:20" x14ac:dyDescent="0.25">
      <c r="B9" s="1"/>
      <c r="C9" s="1" t="str">
        <f>'Annual Returns'!$C$30</f>
        <v>Fixed Cost</v>
      </c>
      <c r="D9" s="1"/>
      <c r="E9" s="1"/>
      <c r="F9" s="1"/>
      <c r="G9" s="1"/>
      <c r="H9" s="44">
        <f>'Annual Returns'!$F$30</f>
        <v>391.69499999999999</v>
      </c>
      <c r="I9" s="44">
        <f>'Annual Returns'!$G$30</f>
        <v>391.69499999999999</v>
      </c>
      <c r="J9" s="44">
        <f>'Annual Returns'!$H$30</f>
        <v>391.69499999999999</v>
      </c>
      <c r="K9" s="44">
        <f>'Annual Returns'!$I$30</f>
        <v>391.69499999999999</v>
      </c>
      <c r="L9" s="44">
        <f>'Annual Returns'!$J$30</f>
        <v>391.69499999999999</v>
      </c>
      <c r="M9" s="44">
        <f>'Annual Returns'!$K$30</f>
        <v>391.69499999999999</v>
      </c>
      <c r="N9" s="44">
        <f>'Annual Returns'!$L$30</f>
        <v>391.69499999999999</v>
      </c>
      <c r="O9" s="44">
        <f>'Annual Returns'!$M$30</f>
        <v>391.69499999999999</v>
      </c>
      <c r="P9" s="44">
        <f>'Annual Returns'!$N$30</f>
        <v>391.69499999999999</v>
      </c>
      <c r="Q9" s="44">
        <f>'Annual Returns'!$O$30</f>
        <v>391.69499999999999</v>
      </c>
      <c r="S9" s="44">
        <f t="shared" si="0"/>
        <v>391.69500000000005</v>
      </c>
      <c r="T9" s="44">
        <f t="shared" si="1"/>
        <v>5.9918224530375701E-14</v>
      </c>
    </row>
    <row r="10" spans="1:20" x14ac:dyDescent="0.25">
      <c r="B10" s="1"/>
      <c r="C10" s="1" t="str">
        <f>'Annual Returns'!$C$31</f>
        <v>Earnings</v>
      </c>
      <c r="D10" s="1"/>
      <c r="E10" s="1"/>
      <c r="F10" s="1"/>
      <c r="G10" s="1"/>
      <c r="H10" s="44">
        <f>'Annual Returns'!$F$31</f>
        <v>-41.691637499999985</v>
      </c>
      <c r="I10" s="44">
        <f>'Annual Returns'!$G$31</f>
        <v>-90.441637499999928</v>
      </c>
      <c r="J10" s="44">
        <f>'Annual Returns'!$H$31</f>
        <v>-83.641637499999916</v>
      </c>
      <c r="K10" s="44">
        <f>'Annual Returns'!$I$31</f>
        <v>-76.841637499999905</v>
      </c>
      <c r="L10" s="44">
        <f>'Annual Returns'!$J$31</f>
        <v>-70.041637499999894</v>
      </c>
      <c r="M10" s="44">
        <f>'Annual Returns'!$K$31</f>
        <v>-63.241637499999939</v>
      </c>
      <c r="N10" s="44">
        <f>'Annual Returns'!$L$31</f>
        <v>-56.441637499999928</v>
      </c>
      <c r="O10" s="44">
        <f>'Annual Returns'!$M$31</f>
        <v>-49.641637499999916</v>
      </c>
      <c r="P10" s="44">
        <f>'Annual Returns'!$N$31</f>
        <v>-42.841637499999905</v>
      </c>
      <c r="Q10" s="44">
        <f>'Annual Returns'!$O$31</f>
        <v>-36.041637499999894</v>
      </c>
      <c r="S10" s="44">
        <f t="shared" si="0"/>
        <v>-61.086637499999917</v>
      </c>
      <c r="T10" s="44">
        <f t="shared" si="1"/>
        <v>18.833664451366527</v>
      </c>
    </row>
    <row r="11" spans="1:20" x14ac:dyDescent="0.25">
      <c r="B11" s="1"/>
      <c r="C11" s="1"/>
      <c r="D11" s="1"/>
      <c r="E11" s="1"/>
      <c r="F11" s="1"/>
      <c r="G11" s="1"/>
      <c r="S11" s="44"/>
      <c r="T11" s="44"/>
    </row>
    <row r="12" spans="1:20" x14ac:dyDescent="0.25">
      <c r="B12" s="1"/>
      <c r="C12" s="1" t="str">
        <f>'Annual Returns'!$C$33</f>
        <v>Net Return to Land</v>
      </c>
      <c r="D12" s="1"/>
      <c r="E12" s="1"/>
      <c r="F12" s="1"/>
      <c r="G12" s="1"/>
      <c r="H12" s="44">
        <f>'Annual Returns'!$F$33</f>
        <v>213.30836250000002</v>
      </c>
      <c r="I12" s="44">
        <f>'Annual Returns'!$G$33</f>
        <v>164.55836250000007</v>
      </c>
      <c r="J12" s="44">
        <f>'Annual Returns'!$H$33</f>
        <v>171.35836250000008</v>
      </c>
      <c r="K12" s="44">
        <f>'Annual Returns'!$I$33</f>
        <v>178.15836250000009</v>
      </c>
      <c r="L12" s="44">
        <f>'Annual Returns'!$J$33</f>
        <v>184.95836250000011</v>
      </c>
      <c r="M12" s="44">
        <f>'Annual Returns'!$K$33</f>
        <v>191.75836250000006</v>
      </c>
      <c r="N12" s="44">
        <f>'Annual Returns'!$L$33</f>
        <v>198.55836250000007</v>
      </c>
      <c r="O12" s="44">
        <f>'Annual Returns'!$M$33</f>
        <v>205.35836250000008</v>
      </c>
      <c r="P12" s="44">
        <f>'Annual Returns'!$N$33</f>
        <v>212.15836250000009</v>
      </c>
      <c r="Q12" s="44">
        <f>'Annual Returns'!$O$33</f>
        <v>218.95836250000011</v>
      </c>
      <c r="S12" s="44">
        <f t="shared" ref="S12" si="2">AVERAGE(H12:Q12)</f>
        <v>193.91336250000009</v>
      </c>
      <c r="T12" s="44">
        <f t="shared" ref="T12" si="3">STDEV(H12:Q12)</f>
        <v>18.833664451366506</v>
      </c>
    </row>
    <row r="14" spans="1:20" x14ac:dyDescent="0.25">
      <c r="C14" s="7" t="s">
        <v>206</v>
      </c>
      <c r="D14" s="7"/>
      <c r="E14" s="7"/>
      <c r="F14" s="7"/>
      <c r="H14" s="41">
        <f t="shared" ref="H14:H18" si="4">H6/(1+$C$1)</f>
        <v>766.88372093023258</v>
      </c>
      <c r="I14" s="41">
        <f>I6/(1+$C$1)^2</f>
        <v>671.19524067063287</v>
      </c>
      <c r="J14" s="41">
        <f>J6/(1+$C$1)^3</f>
        <v>629.84139761278891</v>
      </c>
      <c r="K14" s="41">
        <f>K6/(1+$C$1)^4</f>
        <v>590.99081812600389</v>
      </c>
      <c r="L14" s="41">
        <f>L6/(1+$C$1)^5</f>
        <v>554.49549928230999</v>
      </c>
      <c r="M14" s="41">
        <f>M6/(1+$C$1)^6</f>
        <v>520.21590509980547</v>
      </c>
      <c r="N14" s="41">
        <f>N6/(1+$C$1)^7</f>
        <v>488.02050551197112</v>
      </c>
      <c r="O14" s="41">
        <f>O6/(1+$C$1)^8</f>
        <v>457.7853384540249</v>
      </c>
      <c r="P14" s="41">
        <f>P6/(1+$C$1)^9</f>
        <v>429.39359408474405</v>
      </c>
      <c r="Q14" s="41">
        <f>Q6/(1+$C$1)^10</f>
        <v>402.73522018663056</v>
      </c>
      <c r="S14" s="41">
        <f t="shared" ref="S14:S18" si="5">AVERAGE(H14:Q14)</f>
        <v>551.15572399591451</v>
      </c>
      <c r="T14" s="41">
        <f t="shared" ref="T14:T18" si="6">STDEV(H14:Q14)</f>
        <v>115.11033239401115</v>
      </c>
    </row>
    <row r="15" spans="1:20" x14ac:dyDescent="0.25">
      <c r="C15" s="7" t="s">
        <v>207</v>
      </c>
      <c r="D15" s="7"/>
      <c r="E15" s="7"/>
      <c r="F15" s="7"/>
      <c r="H15" s="41">
        <f t="shared" si="4"/>
        <v>441.29919767441862</v>
      </c>
      <c r="I15" s="41">
        <f>I7/(1+$C$1)^2</f>
        <v>410.51088155759874</v>
      </c>
      <c r="J15" s="41">
        <f>J7/(1+$C$1)^3</f>
        <v>381.8705874954407</v>
      </c>
      <c r="K15" s="41">
        <f>K7/(1+$C$1)^4</f>
        <v>355.22845348413085</v>
      </c>
      <c r="L15" s="41">
        <f>L7/(1+$C$1)^5</f>
        <v>330.44507300849381</v>
      </c>
      <c r="M15" s="41">
        <f>M7/(1+$C$1)^6</f>
        <v>307.39076558929662</v>
      </c>
      <c r="N15" s="41">
        <f>N7/(1+$C$1)^7</f>
        <v>285.94489822260147</v>
      </c>
      <c r="O15" s="41">
        <f>O7/(1+$C$1)^8</f>
        <v>265.99525416055957</v>
      </c>
      <c r="P15" s="41">
        <f>P7/(1+$C$1)^9</f>
        <v>247.43744573075307</v>
      </c>
      <c r="Q15" s="41">
        <f>Q7/(1+$C$1)^10</f>
        <v>230.17436812163081</v>
      </c>
      <c r="S15" s="41">
        <f t="shared" si="5"/>
        <v>325.62969250449243</v>
      </c>
      <c r="T15" s="41">
        <f t="shared" si="6"/>
        <v>70.974265671915433</v>
      </c>
    </row>
    <row r="16" spans="1:20" x14ac:dyDescent="0.25">
      <c r="C16" s="7" t="s">
        <v>208</v>
      </c>
      <c r="D16" s="7"/>
      <c r="E16" s="7"/>
      <c r="F16" s="7"/>
      <c r="H16" s="41">
        <f t="shared" si="4"/>
        <v>325.58452325581396</v>
      </c>
      <c r="I16" s="41">
        <f>I8/(1+$C$1)^2</f>
        <v>260.68435911303419</v>
      </c>
      <c r="J16" s="41">
        <f>J8/(1+$C$1)^3</f>
        <v>247.97081011734824</v>
      </c>
      <c r="K16" s="41">
        <f>K8/(1+$C$1)^4</f>
        <v>235.76236464187309</v>
      </c>
      <c r="L16" s="41">
        <f>L8/(1+$C$1)^5</f>
        <v>224.05042627381619</v>
      </c>
      <c r="M16" s="41">
        <f>M8/(1+$C$1)^6</f>
        <v>212.82513951050882</v>
      </c>
      <c r="N16" s="41">
        <f>N8/(1+$C$1)^7</f>
        <v>202.07560728936966</v>
      </c>
      <c r="O16" s="41">
        <f>O8/(1+$C$1)^8</f>
        <v>191.79008429346533</v>
      </c>
      <c r="P16" s="41">
        <f>P8/(1+$C$1)^9</f>
        <v>181.95614835399104</v>
      </c>
      <c r="Q16" s="41">
        <f>Q8/(1+$C$1)^10</f>
        <v>172.56085206499978</v>
      </c>
      <c r="S16" s="41">
        <f t="shared" si="5"/>
        <v>225.526031491422</v>
      </c>
      <c r="T16" s="41">
        <f t="shared" si="6"/>
        <v>45.229700080071048</v>
      </c>
    </row>
    <row r="17" spans="2:20" x14ac:dyDescent="0.25">
      <c r="C17" s="7" t="s">
        <v>209</v>
      </c>
      <c r="D17" s="7"/>
      <c r="E17" s="7"/>
      <c r="F17" s="7"/>
      <c r="H17" s="41">
        <f t="shared" si="4"/>
        <v>364.36744186046514</v>
      </c>
      <c r="I17" s="41">
        <f>I9/(1+$C$1)^2</f>
        <v>338.94645754461874</v>
      </c>
      <c r="J17" s="41">
        <f>J9/(1+$C$1)^3</f>
        <v>315.29903027406397</v>
      </c>
      <c r="K17" s="41">
        <f>K9/(1+$C$1)^4</f>
        <v>293.30142351075716</v>
      </c>
      <c r="L17" s="41">
        <f>L9/(1+$C$1)^5</f>
        <v>272.83853349837875</v>
      </c>
      <c r="M17" s="41">
        <f>M9/(1+$C$1)^6</f>
        <v>253.80328697523606</v>
      </c>
      <c r="N17" s="41">
        <f>N9/(1+$C$1)^7</f>
        <v>236.09608090719632</v>
      </c>
      <c r="O17" s="41">
        <f>O9/(1+$C$1)^8</f>
        <v>219.62426130901986</v>
      </c>
      <c r="P17" s="41">
        <f>P9/(1+$C$1)^9</f>
        <v>204.30163842699523</v>
      </c>
      <c r="Q17" s="41">
        <f>Q9/(1+$C$1)^10</f>
        <v>190.0480357460421</v>
      </c>
      <c r="S17" s="41">
        <f t="shared" si="5"/>
        <v>268.86261900527734</v>
      </c>
      <c r="T17" s="41">
        <f t="shared" si="6"/>
        <v>58.601311212626129</v>
      </c>
    </row>
    <row r="18" spans="2:20" x14ac:dyDescent="0.25">
      <c r="C18" s="7" t="s">
        <v>210</v>
      </c>
      <c r="D18" s="7"/>
      <c r="E18" s="7"/>
      <c r="F18" s="7"/>
      <c r="H18" s="41">
        <f t="shared" si="4"/>
        <v>-38.782918604651151</v>
      </c>
      <c r="I18" s="41">
        <f>I10/(1+$C$1)^2</f>
        <v>-78.26209843158459</v>
      </c>
      <c r="J18" s="41">
        <f>J10/(1+$C$1)^3</f>
        <v>-67.328220156715702</v>
      </c>
      <c r="K18" s="41">
        <f>K10/(1+$C$1)^4</f>
        <v>-57.539058868884084</v>
      </c>
      <c r="L18" s="41">
        <f>L10/(1+$C$1)^5</f>
        <v>-48.788107224562538</v>
      </c>
      <c r="M18" s="41">
        <f>M10/(1+$C$1)^6</f>
        <v>-40.978147464727243</v>
      </c>
      <c r="N18" s="41">
        <f>N10/(1+$C$1)^7</f>
        <v>-34.020473617826703</v>
      </c>
      <c r="O18" s="41">
        <f>O10/(1+$C$1)^8</f>
        <v>-27.834177015554502</v>
      </c>
      <c r="P18" s="41">
        <f>P10/(1+$C$1)^9</f>
        <v>-22.3454900730042</v>
      </c>
      <c r="Q18" s="41">
        <f>Q10/(1+$C$1)^10</f>
        <v>-17.487183681042318</v>
      </c>
      <c r="S18" s="41">
        <f t="shared" si="5"/>
        <v>-43.336587513855314</v>
      </c>
      <c r="T18" s="41">
        <f t="shared" si="6"/>
        <v>19.689392827232755</v>
      </c>
    </row>
    <row r="19" spans="2:20" x14ac:dyDescent="0.25">
      <c r="C19" s="7"/>
      <c r="D19" s="7"/>
      <c r="E19" s="7"/>
      <c r="F19" s="7"/>
      <c r="S19" s="41"/>
      <c r="T19" s="41"/>
    </row>
    <row r="20" spans="2:20" x14ac:dyDescent="0.25">
      <c r="C20" s="7" t="s">
        <v>211</v>
      </c>
      <c r="D20" s="7"/>
      <c r="E20" s="7"/>
      <c r="F20" s="7"/>
      <c r="H20" s="41">
        <f>H12/(1+$C$1)</f>
        <v>198.42638372093026</v>
      </c>
      <c r="I20" s="41">
        <f>I12/(1+$C$1)^2</f>
        <v>142.39771768523534</v>
      </c>
      <c r="J20" s="41">
        <f>J12/(1+$C$1)^3</f>
        <v>137.93672506823307</v>
      </c>
      <c r="K20" s="41">
        <f>K12/(1+$C$1)^4</f>
        <v>133.40507622409152</v>
      </c>
      <c r="L20" s="41">
        <f>L12/(1+$C$1)^5</f>
        <v>128.8343440247171</v>
      </c>
      <c r="M20" s="41">
        <f>M12/(1+$C$1)^6</f>
        <v>124.25203974390499</v>
      </c>
      <c r="N20" s="41">
        <f>N12/(1+$C$1)^7</f>
        <v>119.6820261111335</v>
      </c>
      <c r="O20" s="41">
        <f>O12/(1+$C$1)^8</f>
        <v>115.14489249975732</v>
      </c>
      <c r="P20" s="41">
        <f>P12/(1+$C$1)^9</f>
        <v>110.6582955226347</v>
      </c>
      <c r="Q20" s="41">
        <f>Q12/(1+$C$1)^10</f>
        <v>106.23726803583111</v>
      </c>
      <c r="S20" s="41">
        <f t="shared" ref="S20" si="7">AVERAGE(H20:Q20)</f>
        <v>131.6974768636469</v>
      </c>
      <c r="T20" s="41">
        <f t="shared" ref="T20" si="8">STDEV(H20:Q20)</f>
        <v>26.208452479358847</v>
      </c>
    </row>
    <row r="26" spans="2:20" x14ac:dyDescent="0.25">
      <c r="B26" s="1" t="str">
        <f>'Annual Returns'!$B$65</f>
        <v>Conventional Corn/Soybean/Wheat Crop Rotation (per acre)</v>
      </c>
      <c r="C26" s="1"/>
      <c r="D26" s="1"/>
      <c r="E26" s="1"/>
      <c r="F26" s="1"/>
      <c r="G26" s="1"/>
    </row>
    <row r="27" spans="2:20" x14ac:dyDescent="0.25">
      <c r="B27" s="1"/>
      <c r="C27" s="1"/>
      <c r="D27" s="1"/>
      <c r="E27" s="1"/>
      <c r="F27" s="1"/>
      <c r="G27" s="1"/>
    </row>
    <row r="28" spans="2:20" x14ac:dyDescent="0.25">
      <c r="B28" s="1"/>
      <c r="C28" s="1" t="str">
        <f>'Annual Returns'!$C$67</f>
        <v>Gross Return</v>
      </c>
      <c r="D28" s="1"/>
      <c r="E28" s="1"/>
      <c r="F28" s="1"/>
      <c r="G28" s="1"/>
      <c r="H28" s="44">
        <f>'Annual Returns'!$F$67</f>
        <v>716.76666666666677</v>
      </c>
      <c r="I28" s="44">
        <f>'Annual Returns'!$G$67</f>
        <v>677.30833333333339</v>
      </c>
      <c r="J28" s="44">
        <f>'Annual Returns'!$H$67</f>
        <v>682.48333333333335</v>
      </c>
      <c r="K28" s="44">
        <f>'Annual Returns'!$I$67</f>
        <v>687.6583333333333</v>
      </c>
      <c r="L28" s="44">
        <f>'Annual Returns'!$J$67</f>
        <v>692.83333333333337</v>
      </c>
      <c r="M28" s="44">
        <f>'Annual Returns'!$K$67</f>
        <v>698.00833333333321</v>
      </c>
      <c r="N28" s="44">
        <f>'Annual Returns'!$L$67</f>
        <v>703.18333333333339</v>
      </c>
      <c r="O28" s="44">
        <f>'Annual Returns'!$M$67</f>
        <v>708.35833333333323</v>
      </c>
      <c r="P28" s="44">
        <f>'Annual Returns'!$N$67</f>
        <v>713.5333333333333</v>
      </c>
      <c r="Q28" s="44">
        <f>'Annual Returns'!$O$67</f>
        <v>718.70833333333337</v>
      </c>
      <c r="S28" s="44">
        <f t="shared" ref="S28:S32" si="9">AVERAGE(H28:Q28)</f>
        <v>699.8841666666666</v>
      </c>
      <c r="T28" s="44">
        <f t="shared" ref="T28:T32" si="10">STDEV(H28:Q28)</f>
        <v>14.619336747761318</v>
      </c>
    </row>
    <row r="29" spans="2:20" x14ac:dyDescent="0.25">
      <c r="B29" s="1"/>
      <c r="C29" s="1" t="str">
        <f>'Annual Returns'!$C$68</f>
        <v>Variable Cost</v>
      </c>
      <c r="D29" s="1"/>
      <c r="E29" s="1"/>
      <c r="F29" s="1"/>
      <c r="G29" s="1"/>
      <c r="H29" s="44">
        <f>'Annual Returns'!$F$68</f>
        <v>396.74729166666663</v>
      </c>
      <c r="I29" s="44">
        <f>'Annual Returns'!$G$68</f>
        <v>396.74729166666663</v>
      </c>
      <c r="J29" s="44">
        <f>'Annual Returns'!$H$68</f>
        <v>396.74729166666663</v>
      </c>
      <c r="K29" s="44">
        <f>'Annual Returns'!$I$68</f>
        <v>396.74729166666663</v>
      </c>
      <c r="L29" s="44">
        <f>'Annual Returns'!$J$68</f>
        <v>396.74729166666663</v>
      </c>
      <c r="M29" s="44">
        <f>'Annual Returns'!$K$68</f>
        <v>396.74729166666663</v>
      </c>
      <c r="N29" s="44">
        <f>'Annual Returns'!$L$68</f>
        <v>396.74729166666663</v>
      </c>
      <c r="O29" s="44">
        <f>'Annual Returns'!$M$68</f>
        <v>396.74729166666663</v>
      </c>
      <c r="P29" s="44">
        <f>'Annual Returns'!$N$68</f>
        <v>396.74729166666663</v>
      </c>
      <c r="Q29" s="44">
        <f>'Annual Returns'!$O$68</f>
        <v>396.74729166666663</v>
      </c>
      <c r="S29" s="44">
        <f t="shared" si="9"/>
        <v>396.74729166666663</v>
      </c>
      <c r="T29" s="44">
        <f t="shared" si="10"/>
        <v>0</v>
      </c>
    </row>
    <row r="30" spans="2:20" x14ac:dyDescent="0.25">
      <c r="B30" s="1"/>
      <c r="C30" s="1" t="str">
        <f>'Annual Returns'!$C$69</f>
        <v>Contribution Margin</v>
      </c>
      <c r="D30" s="1"/>
      <c r="E30" s="1"/>
      <c r="F30" s="1"/>
      <c r="G30" s="1"/>
      <c r="H30" s="44">
        <f>'Annual Returns'!$F$69</f>
        <v>320.01937500000003</v>
      </c>
      <c r="I30" s="44">
        <f>'Annual Returns'!$G$69</f>
        <v>280.56104166666671</v>
      </c>
      <c r="J30" s="44">
        <f>'Annual Returns'!$H$69</f>
        <v>285.73604166666667</v>
      </c>
      <c r="K30" s="44">
        <f>'Annual Returns'!$I$69</f>
        <v>290.91104166666673</v>
      </c>
      <c r="L30" s="44">
        <f>'Annual Returns'!$J$69</f>
        <v>296.08604166666669</v>
      </c>
      <c r="M30" s="44">
        <f>'Annual Returns'!$K$69</f>
        <v>301.26104166666664</v>
      </c>
      <c r="N30" s="44">
        <f>'Annual Returns'!$L$69</f>
        <v>306.43604166666665</v>
      </c>
      <c r="O30" s="44">
        <f>'Annual Returns'!$M$69</f>
        <v>311.61104166666661</v>
      </c>
      <c r="P30" s="44">
        <f>'Annual Returns'!$N$69</f>
        <v>316.78604166666668</v>
      </c>
      <c r="Q30" s="44">
        <f>'Annual Returns'!$O$69</f>
        <v>321.96104166666663</v>
      </c>
      <c r="S30" s="44">
        <f t="shared" si="9"/>
        <v>303.13687499999997</v>
      </c>
      <c r="T30" s="44">
        <f t="shared" si="10"/>
        <v>14.619336747761297</v>
      </c>
    </row>
    <row r="31" spans="2:20" x14ac:dyDescent="0.25">
      <c r="B31" s="1"/>
      <c r="C31" s="1" t="str">
        <f>'Annual Returns'!$C$70</f>
        <v>Fixed Cost</v>
      </c>
      <c r="D31" s="1"/>
      <c r="E31" s="1"/>
      <c r="F31" s="1"/>
      <c r="G31" s="1"/>
      <c r="H31" s="44">
        <f>'Annual Returns'!$F$70</f>
        <v>386.28800666666666</v>
      </c>
      <c r="I31" s="44">
        <f>'Annual Returns'!$G$70</f>
        <v>386.28800666666666</v>
      </c>
      <c r="J31" s="44">
        <f>'Annual Returns'!$H$70</f>
        <v>386.28800666666666</v>
      </c>
      <c r="K31" s="44">
        <f>'Annual Returns'!$I$70</f>
        <v>386.28800666666666</v>
      </c>
      <c r="L31" s="44">
        <f>'Annual Returns'!$J$70</f>
        <v>386.28800666666666</v>
      </c>
      <c r="M31" s="44">
        <f>'Annual Returns'!$K$70</f>
        <v>386.28800666666666</v>
      </c>
      <c r="N31" s="44">
        <f>'Annual Returns'!$L$70</f>
        <v>386.28800666666666</v>
      </c>
      <c r="O31" s="44">
        <f>'Annual Returns'!$M$70</f>
        <v>386.28800666666666</v>
      </c>
      <c r="P31" s="44">
        <f>'Annual Returns'!$N$70</f>
        <v>386.28800666666666</v>
      </c>
      <c r="Q31" s="44">
        <f>'Annual Returns'!$O$70</f>
        <v>386.28800666666666</v>
      </c>
      <c r="S31" s="44">
        <f t="shared" si="9"/>
        <v>386.28800666666666</v>
      </c>
      <c r="T31" s="44">
        <f t="shared" si="10"/>
        <v>0</v>
      </c>
    </row>
    <row r="32" spans="2:20" x14ac:dyDescent="0.25">
      <c r="B32" s="1"/>
      <c r="C32" s="1" t="str">
        <f>'Annual Returns'!$C$71</f>
        <v>Earnings</v>
      </c>
      <c r="D32" s="1"/>
      <c r="E32" s="1"/>
      <c r="F32" s="1"/>
      <c r="G32" s="1"/>
      <c r="H32" s="44">
        <f>'Annual Returns'!$F$71</f>
        <v>-66.268631666666636</v>
      </c>
      <c r="I32" s="44">
        <f>'Annual Returns'!$G$71</f>
        <v>-105.72696499999996</v>
      </c>
      <c r="J32" s="44">
        <f>'Annual Returns'!$H$71</f>
        <v>-100.55196499999998</v>
      </c>
      <c r="K32" s="44">
        <f>'Annual Returns'!$I$71</f>
        <v>-95.37696499999997</v>
      </c>
      <c r="L32" s="44">
        <f>'Annual Returns'!$J$71</f>
        <v>-90.201964999999973</v>
      </c>
      <c r="M32" s="44">
        <f>'Annual Returns'!$K$71</f>
        <v>-85.026965000000018</v>
      </c>
      <c r="N32" s="44">
        <f>'Annual Returns'!$L$71</f>
        <v>-79.851965000000007</v>
      </c>
      <c r="O32" s="44">
        <f>'Annual Returns'!$M$71</f>
        <v>-74.67696500000001</v>
      </c>
      <c r="P32" s="44">
        <f>'Annual Returns'!$N$71</f>
        <v>-69.501965000000027</v>
      </c>
      <c r="Q32" s="44">
        <f>'Annual Returns'!$O$71</f>
        <v>-64.32696500000003</v>
      </c>
      <c r="S32" s="44">
        <f t="shared" si="9"/>
        <v>-83.151131666666657</v>
      </c>
      <c r="T32" s="44">
        <f t="shared" si="10"/>
        <v>14.619336747761389</v>
      </c>
    </row>
    <row r="33" spans="2:20" x14ac:dyDescent="0.25">
      <c r="B33" s="1"/>
      <c r="C33" s="1"/>
      <c r="D33" s="1"/>
      <c r="E33" s="1"/>
      <c r="F33" s="1"/>
      <c r="G33" s="1"/>
      <c r="S33" s="44"/>
      <c r="T33" s="44"/>
    </row>
    <row r="34" spans="2:20" x14ac:dyDescent="0.25">
      <c r="B34" s="1"/>
      <c r="C34" s="1" t="str">
        <f>'Annual Returns'!$C$73</f>
        <v>Net Return to Land</v>
      </c>
      <c r="D34" s="1"/>
      <c r="E34" s="1"/>
      <c r="F34" s="1"/>
      <c r="G34" s="1"/>
      <c r="H34" s="44">
        <f>'Annual Returns'!$F$73</f>
        <v>188.73136833333334</v>
      </c>
      <c r="I34" s="44">
        <f>'Annual Returns'!$G$73</f>
        <v>149.27303500000002</v>
      </c>
      <c r="J34" s="44">
        <f>'Annual Returns'!$H$73</f>
        <v>154.44803500000003</v>
      </c>
      <c r="K34" s="44">
        <f>'Annual Returns'!$I$73</f>
        <v>159.62303500000004</v>
      </c>
      <c r="L34" s="44">
        <f>'Annual Returns'!$J$73</f>
        <v>164.79803500000003</v>
      </c>
      <c r="M34" s="44">
        <f>'Annual Returns'!$K$73</f>
        <v>169.97303499999998</v>
      </c>
      <c r="N34" s="44">
        <f>'Annual Returns'!$L$73</f>
        <v>175.14803500000002</v>
      </c>
      <c r="O34" s="44">
        <f>'Annual Returns'!$M$73</f>
        <v>180.32303499999998</v>
      </c>
      <c r="P34" s="44">
        <f>'Annual Returns'!$N$73</f>
        <v>185.49803499999999</v>
      </c>
      <c r="Q34" s="44">
        <f>'Annual Returns'!$O$73</f>
        <v>190.67303499999994</v>
      </c>
      <c r="S34" s="44">
        <f t="shared" ref="S34" si="11">AVERAGE(H34:Q34)</f>
        <v>171.84886833333334</v>
      </c>
      <c r="T34" s="44">
        <f t="shared" ref="T34" si="12">STDEV(H34:Q34)</f>
        <v>14.619336747761293</v>
      </c>
    </row>
    <row r="36" spans="2:20" x14ac:dyDescent="0.25">
      <c r="C36" s="7" t="s">
        <v>206</v>
      </c>
      <c r="D36" s="7"/>
      <c r="E36" s="7"/>
      <c r="F36" s="7"/>
      <c r="H36" s="41">
        <f t="shared" ref="H36" si="13">H28/(1+$C$1)</f>
        <v>666.75968992248079</v>
      </c>
      <c r="I36" s="41">
        <f>I28/(1+$C$1)^2</f>
        <v>586.09698936362008</v>
      </c>
      <c r="J36" s="41">
        <f>J28/(1+$C$1)^3</f>
        <v>549.37217268081224</v>
      </c>
      <c r="K36" s="41">
        <f>K28/(1+$C$1)^4</f>
        <v>514.91892430513894</v>
      </c>
      <c r="L36" s="41">
        <f>L28/(1+$C$1)^5</f>
        <v>482.59903911323886</v>
      </c>
      <c r="M36" s="41">
        <f>M28/(1+$C$1)^6</f>
        <v>452.28253956804713</v>
      </c>
      <c r="N36" s="41">
        <f>N28/(1+$C$1)^7</f>
        <v>423.84720039637648</v>
      </c>
      <c r="O36" s="41">
        <f>O28/(1+$C$1)^8</f>
        <v>397.17809954281205</v>
      </c>
      <c r="P36" s="41">
        <f>P28/(1+$C$1)^9</f>
        <v>372.16719404709102</v>
      </c>
      <c r="Q36" s="41">
        <f>Q28/(1+$C$1)^10</f>
        <v>348.71291955299836</v>
      </c>
      <c r="S36" s="41">
        <f t="shared" ref="S36:S40" si="14">AVERAGE(H36:Q36)</f>
        <v>479.39347684926167</v>
      </c>
      <c r="T36" s="41">
        <f t="shared" ref="T36:T40" si="15">STDEV(H36:Q36)</f>
        <v>101.0037029538328</v>
      </c>
    </row>
    <row r="37" spans="2:20" x14ac:dyDescent="0.25">
      <c r="C37" s="7" t="s">
        <v>207</v>
      </c>
      <c r="D37" s="7"/>
      <c r="E37" s="7"/>
      <c r="F37" s="7"/>
      <c r="H37" s="41">
        <f t="shared" ref="H37" si="16">H29/(1+$C$1)</f>
        <v>369.06724806201549</v>
      </c>
      <c r="I37" s="41">
        <f>I29/(1+$C$1)^2</f>
        <v>343.31837029024695</v>
      </c>
      <c r="J37" s="41">
        <f>J29/(1+$C$1)^3</f>
        <v>319.36592585139255</v>
      </c>
      <c r="K37" s="41">
        <f>K29/(1+$C$1)^4</f>
        <v>297.08458218734188</v>
      </c>
      <c r="L37" s="41">
        <f>L29/(1+$C$1)^5</f>
        <v>276.35775087194594</v>
      </c>
      <c r="M37" s="41">
        <f>M29/(1+$C$1)^6</f>
        <v>257.07697755529858</v>
      </c>
      <c r="N37" s="41">
        <f>N29/(1+$C$1)^7</f>
        <v>239.14137447004518</v>
      </c>
      <c r="O37" s="41">
        <f>O29/(1+$C$1)^8</f>
        <v>222.45709253027459</v>
      </c>
      <c r="P37" s="41">
        <f>P29/(1+$C$1)^9</f>
        <v>206.93683026072057</v>
      </c>
      <c r="Q37" s="41">
        <f>Q29/(1+$C$1)^10</f>
        <v>192.49937698671684</v>
      </c>
      <c r="S37" s="41">
        <f t="shared" si="14"/>
        <v>272.33055290659985</v>
      </c>
      <c r="T37" s="41">
        <f t="shared" si="15"/>
        <v>59.357182276324252</v>
      </c>
    </row>
    <row r="38" spans="2:20" x14ac:dyDescent="0.25">
      <c r="C38" s="7" t="s">
        <v>208</v>
      </c>
      <c r="D38" s="7"/>
      <c r="E38" s="7"/>
      <c r="F38" s="7"/>
      <c r="H38" s="41">
        <f t="shared" ref="H38" si="17">H30/(1+$C$1)</f>
        <v>297.69244186046512</v>
      </c>
      <c r="I38" s="41">
        <f>I30/(1+$C$1)^2</f>
        <v>242.77861907337305</v>
      </c>
      <c r="J38" s="41">
        <f>J30/(1+$C$1)^3</f>
        <v>230.00624682941967</v>
      </c>
      <c r="K38" s="41">
        <f>K30/(1+$C$1)^4</f>
        <v>217.83434211779712</v>
      </c>
      <c r="L38" s="41">
        <f>L30/(1+$C$1)^5</f>
        <v>206.24128824129286</v>
      </c>
      <c r="M38" s="41">
        <f>M30/(1+$C$1)^6</f>
        <v>195.20556201274857</v>
      </c>
      <c r="N38" s="41">
        <f>N30/(1+$C$1)^7</f>
        <v>184.70582592633124</v>
      </c>
      <c r="O38" s="41">
        <f>O30/(1+$C$1)^8</f>
        <v>174.72100701253746</v>
      </c>
      <c r="P38" s="41">
        <f>P30/(1+$C$1)^9</f>
        <v>165.23036378637045</v>
      </c>
      <c r="Q38" s="41">
        <f>Q30/(1+$C$1)^10</f>
        <v>156.21354256628143</v>
      </c>
      <c r="S38" s="41">
        <f t="shared" si="14"/>
        <v>207.06292394266171</v>
      </c>
      <c r="T38" s="41">
        <f t="shared" si="15"/>
        <v>42.36675075582118</v>
      </c>
    </row>
    <row r="39" spans="2:20" x14ac:dyDescent="0.25">
      <c r="C39" s="7" t="s">
        <v>209</v>
      </c>
      <c r="D39" s="7"/>
      <c r="E39" s="7"/>
      <c r="F39" s="7"/>
      <c r="H39" s="41">
        <f t="shared" ref="H39" si="18">H31/(1+$C$1)</f>
        <v>359.33768062015503</v>
      </c>
      <c r="I39" s="41">
        <f>I31/(1+$C$1)^2</f>
        <v>334.26760987921404</v>
      </c>
      <c r="J39" s="41">
        <f>J31/(1+$C$1)^3</f>
        <v>310.94661384112931</v>
      </c>
      <c r="K39" s="41">
        <f>K31/(1+$C$1)^4</f>
        <v>289.25266403825981</v>
      </c>
      <c r="L39" s="41">
        <f>L31/(1+$C$1)^5</f>
        <v>269.07224561698587</v>
      </c>
      <c r="M39" s="41">
        <f>M31/(1+$C$1)^6</f>
        <v>250.29976336463807</v>
      </c>
      <c r="N39" s="41">
        <f>N31/(1+$C$1)^7</f>
        <v>232.83698917640749</v>
      </c>
      <c r="O39" s="41">
        <f>O31/(1+$C$1)^8</f>
        <v>216.59254807107675</v>
      </c>
      <c r="P39" s="41">
        <f>P31/(1+$C$1)^9</f>
        <v>201.4814400661179</v>
      </c>
      <c r="Q39" s="41">
        <f>Q31/(1+$C$1)^10</f>
        <v>187.42459541034228</v>
      </c>
      <c r="S39" s="41">
        <f t="shared" si="14"/>
        <v>265.15121500843264</v>
      </c>
      <c r="T39" s="41">
        <f t="shared" si="15"/>
        <v>57.792373393529083</v>
      </c>
    </row>
    <row r="40" spans="2:20" x14ac:dyDescent="0.25">
      <c r="C40" s="7" t="s">
        <v>210</v>
      </c>
      <c r="D40" s="7"/>
      <c r="E40" s="7"/>
      <c r="F40" s="7"/>
      <c r="H40" s="41">
        <f t="shared" ref="H40" si="19">H32/(1+$C$1)</f>
        <v>-61.645238759689896</v>
      </c>
      <c r="I40" s="41">
        <f>I32/(1+$C$1)^2</f>
        <v>-91.48899080584097</v>
      </c>
      <c r="J40" s="41">
        <f>J32/(1+$C$1)^3</f>
        <v>-80.940367011709654</v>
      </c>
      <c r="K40" s="41">
        <f>K32/(1+$C$1)^4</f>
        <v>-71.418321920462745</v>
      </c>
      <c r="L40" s="41">
        <f>L32/(1+$C$1)^5</f>
        <v>-62.830957375693025</v>
      </c>
      <c r="M40" s="41">
        <f>M32/(1+$C$1)^6</f>
        <v>-55.094201351889502</v>
      </c>
      <c r="N40" s="41">
        <f>N32/(1+$C$1)^7</f>
        <v>-48.131163250076234</v>
      </c>
      <c r="O40" s="41">
        <f>O32/(1+$C$1)^8</f>
        <v>-41.87154105853925</v>
      </c>
      <c r="P40" s="41">
        <f>P32/(1+$C$1)^9</f>
        <v>-36.251076279747465</v>
      </c>
      <c r="Q40" s="41">
        <f>Q32/(1+$C$1)^10</f>
        <v>-31.211052844060823</v>
      </c>
      <c r="S40" s="41">
        <f t="shared" si="14"/>
        <v>-58.088291065770967</v>
      </c>
      <c r="T40" s="41">
        <f t="shared" si="15"/>
        <v>19.496439657207507</v>
      </c>
    </row>
    <row r="41" spans="2:20" x14ac:dyDescent="0.25">
      <c r="C41" s="7"/>
      <c r="D41" s="7"/>
      <c r="E41" s="7"/>
      <c r="F41" s="7"/>
      <c r="S41" s="41"/>
      <c r="T41" s="41"/>
    </row>
    <row r="42" spans="2:20" x14ac:dyDescent="0.25">
      <c r="C42" s="7" t="s">
        <v>211</v>
      </c>
      <c r="D42" s="7"/>
      <c r="E42" s="7"/>
      <c r="F42" s="7"/>
      <c r="H42" s="41">
        <f>H34/(1+$C$1)</f>
        <v>175.56406356589147</v>
      </c>
      <c r="I42" s="41">
        <f>I34/(1+$C$1)^2</f>
        <v>129.17082531097893</v>
      </c>
      <c r="J42" s="41">
        <f>J34/(1+$C$1)^3</f>
        <v>124.32457821323912</v>
      </c>
      <c r="K42" s="41">
        <f>K34/(1+$C$1)^4</f>
        <v>119.52581317251287</v>
      </c>
      <c r="L42" s="41">
        <f>L34/(1+$C$1)^5</f>
        <v>114.79149387358659</v>
      </c>
      <c r="M42" s="41">
        <f>M34/(1+$C$1)^6</f>
        <v>110.13598585674272</v>
      </c>
      <c r="N42" s="41">
        <f>N34/(1+$C$1)^7</f>
        <v>105.57133647888398</v>
      </c>
      <c r="O42" s="41">
        <f>O34/(1+$C$1)^8</f>
        <v>101.10752845677257</v>
      </c>
      <c r="P42" s="41">
        <f>P34/(1+$C$1)^9</f>
        <v>96.752709315891451</v>
      </c>
      <c r="Q42" s="41">
        <f>Q34/(1+$C$1)^10</f>
        <v>92.513398872812587</v>
      </c>
      <c r="S42" s="41">
        <f t="shared" ref="S42" si="20">AVERAGE(H42:Q42)</f>
        <v>116.94577331173123</v>
      </c>
      <c r="T42" s="41">
        <f t="shared" ref="T42" si="21">STDEV(H42:Q42)</f>
        <v>23.764123072995798</v>
      </c>
    </row>
    <row r="48" spans="2:20" x14ac:dyDescent="0.25">
      <c r="B48" s="1" t="str">
        <f>'Annual Returns'!$B$145</f>
        <v>Transition and Organic Crop Rotations (per acre)</v>
      </c>
      <c r="C48" s="1"/>
      <c r="D48" s="1"/>
      <c r="E48" s="1"/>
      <c r="F48" s="1"/>
      <c r="G48" s="1"/>
    </row>
    <row r="49" spans="2:20" x14ac:dyDescent="0.25">
      <c r="B49" s="1"/>
      <c r="C49" s="1"/>
      <c r="D49" s="1"/>
      <c r="E49" s="1"/>
      <c r="F49" s="1"/>
      <c r="G49" s="1"/>
    </row>
    <row r="50" spans="2:20" x14ac:dyDescent="0.25">
      <c r="B50" s="1"/>
      <c r="C50" s="1" t="str">
        <f>'Annual Returns'!$C$67</f>
        <v>Gross Return</v>
      </c>
      <c r="D50" s="1"/>
      <c r="E50" s="1"/>
      <c r="F50" s="1"/>
      <c r="G50" s="1"/>
      <c r="H50" s="44">
        <f>'Annual Returns'!$F$147</f>
        <v>664.02166666666665</v>
      </c>
      <c r="I50" s="44">
        <f>'Annual Returns'!$G$147</f>
        <v>619.30333333333317</v>
      </c>
      <c r="J50" s="44">
        <f>'Annual Returns'!$H$147</f>
        <v>734.38833333333332</v>
      </c>
      <c r="K50" s="44">
        <f>'Annual Returns'!$I$147</f>
        <v>933.5374999999998</v>
      </c>
      <c r="L50" s="44">
        <f>'Annual Returns'!$J$147</f>
        <v>967.40333333333319</v>
      </c>
      <c r="M50" s="44">
        <f>'Annual Returns'!$K$147</f>
        <v>974.43583333333333</v>
      </c>
      <c r="N50" s="44">
        <f>'Annual Returns'!$L$147</f>
        <v>981.46833333333325</v>
      </c>
      <c r="O50" s="44">
        <f>'Annual Returns'!$M$147</f>
        <v>988.50083333333328</v>
      </c>
      <c r="P50" s="44">
        <f>'Annual Returns'!$N$147</f>
        <v>995.5333333333333</v>
      </c>
      <c r="Q50" s="44">
        <f>'Annual Returns'!$O$147</f>
        <v>1002.5658333333331</v>
      </c>
      <c r="S50" s="44">
        <f t="shared" ref="S50:S54" si="22">AVERAGE(H50:Q50)</f>
        <v>886.11583333333328</v>
      </c>
      <c r="T50" s="44">
        <f t="shared" ref="T50:T54" si="23">STDEV(H50:Q50)</f>
        <v>151.03363756794778</v>
      </c>
    </row>
    <row r="51" spans="2:20" x14ac:dyDescent="0.25">
      <c r="B51" s="1"/>
      <c r="C51" s="1" t="str">
        <f>'Annual Returns'!$C$68</f>
        <v>Variable Cost</v>
      </c>
      <c r="D51" s="1"/>
      <c r="E51" s="1"/>
      <c r="F51" s="1"/>
      <c r="G51" s="1"/>
      <c r="H51" s="44">
        <f>'Annual Returns'!$F$148</f>
        <v>384.24647949999985</v>
      </c>
      <c r="I51" s="44">
        <f>'Annual Returns'!$G$148</f>
        <v>394.56549449999989</v>
      </c>
      <c r="J51" s="44">
        <f>'Annual Returns'!$H$148</f>
        <v>373.84397833333321</v>
      </c>
      <c r="K51" s="44">
        <f>'Annual Returns'!$I$148</f>
        <v>378.51414333333327</v>
      </c>
      <c r="L51" s="44">
        <f>'Annual Returns'!$J$148</f>
        <v>365.16226166666655</v>
      </c>
      <c r="M51" s="44">
        <f>'Annual Returns'!$K$148</f>
        <v>365.16226166666661</v>
      </c>
      <c r="N51" s="44">
        <f>'Annual Returns'!$L$148</f>
        <v>365.16226166666661</v>
      </c>
      <c r="O51" s="44">
        <f>'Annual Returns'!$M$148</f>
        <v>365.16226166666655</v>
      </c>
      <c r="P51" s="44">
        <f>'Annual Returns'!$N$148</f>
        <v>365.16226166666661</v>
      </c>
      <c r="Q51" s="44">
        <f>'Annual Returns'!$O$148</f>
        <v>365.16226166666661</v>
      </c>
      <c r="S51" s="44">
        <f t="shared" si="22"/>
        <v>372.21436656666657</v>
      </c>
      <c r="T51" s="44">
        <f t="shared" si="23"/>
        <v>10.461997814716701</v>
      </c>
    </row>
    <row r="52" spans="2:20" x14ac:dyDescent="0.25">
      <c r="B52" s="1"/>
      <c r="C52" s="1" t="str">
        <f>'Annual Returns'!$C$69</f>
        <v>Contribution Margin</v>
      </c>
      <c r="D52" s="1"/>
      <c r="E52" s="1"/>
      <c r="F52" s="1"/>
      <c r="G52" s="1"/>
      <c r="H52" s="44">
        <f>'Annual Returns'!$F$149</f>
        <v>279.77518716666663</v>
      </c>
      <c r="I52" s="44">
        <f>'Annual Returns'!$G$149</f>
        <v>224.73783883333329</v>
      </c>
      <c r="J52" s="44">
        <f>'Annual Returns'!$H$149</f>
        <v>360.544355</v>
      </c>
      <c r="K52" s="44">
        <f>'Annual Returns'!$I$149</f>
        <v>555.0233566666667</v>
      </c>
      <c r="L52" s="44">
        <f>'Annual Returns'!$J$149</f>
        <v>602.24107166666647</v>
      </c>
      <c r="M52" s="44">
        <f>'Annual Returns'!$K$149</f>
        <v>609.27357166666661</v>
      </c>
      <c r="N52" s="44">
        <f>'Annual Returns'!$L$149</f>
        <v>616.30607166666653</v>
      </c>
      <c r="O52" s="44">
        <f>'Annual Returns'!$M$149</f>
        <v>623.33857166666667</v>
      </c>
      <c r="P52" s="44">
        <f>'Annual Returns'!$N$149</f>
        <v>630.37107166666647</v>
      </c>
      <c r="Q52" s="44">
        <f>'Annual Returns'!$O$149</f>
        <v>637.40357166666649</v>
      </c>
      <c r="S52" s="44">
        <f t="shared" si="22"/>
        <v>513.90146676666654</v>
      </c>
      <c r="T52" s="44">
        <f t="shared" si="23"/>
        <v>160.49263675672069</v>
      </c>
    </row>
    <row r="53" spans="2:20" x14ac:dyDescent="0.25">
      <c r="B53" s="1"/>
      <c r="C53" s="1" t="str">
        <f>'Annual Returns'!$C$70</f>
        <v>Fixed Cost</v>
      </c>
      <c r="D53" s="1"/>
      <c r="E53" s="1"/>
      <c r="F53" s="1"/>
      <c r="G53" s="1"/>
      <c r="H53" s="44">
        <f>'Annual Returns'!$F$150</f>
        <v>409.83467333333328</v>
      </c>
      <c r="I53" s="44">
        <f>'Annual Returns'!$G$150</f>
        <v>429.63666666666654</v>
      </c>
      <c r="J53" s="44">
        <f>'Annual Returns'!$H$150</f>
        <v>464.05333333333328</v>
      </c>
      <c r="K53" s="44">
        <f>'Annual Returns'!$I$150</f>
        <v>462.65403333333336</v>
      </c>
      <c r="L53" s="44">
        <f>'Annual Returns'!$J$150</f>
        <v>458.61736666666661</v>
      </c>
      <c r="M53" s="44">
        <f>'Annual Returns'!$K$150</f>
        <v>458.6173666666665</v>
      </c>
      <c r="N53" s="44">
        <f>'Annual Returns'!$L$150</f>
        <v>458.61736666666656</v>
      </c>
      <c r="O53" s="44">
        <f>'Annual Returns'!$M$150</f>
        <v>458.61736666666661</v>
      </c>
      <c r="P53" s="44">
        <f>'Annual Returns'!$N$150</f>
        <v>458.6173666666665</v>
      </c>
      <c r="Q53" s="44">
        <f>'Annual Returns'!$O$150</f>
        <v>458.61736666666656</v>
      </c>
      <c r="S53" s="44">
        <f t="shared" si="22"/>
        <v>451.78829066666651</v>
      </c>
      <c r="T53" s="44">
        <f t="shared" si="23"/>
        <v>17.635550467372472</v>
      </c>
    </row>
    <row r="54" spans="2:20" x14ac:dyDescent="0.25">
      <c r="B54" s="1"/>
      <c r="C54" s="1" t="str">
        <f>'Annual Returns'!$C$71</f>
        <v>Earnings</v>
      </c>
      <c r="D54" s="1"/>
      <c r="E54" s="1"/>
      <c r="F54" s="1"/>
      <c r="G54" s="1"/>
      <c r="H54" s="44">
        <f>'Annual Returns'!$F$151</f>
        <v>-130.05948616666663</v>
      </c>
      <c r="I54" s="44">
        <f>'Annual Returns'!$G$151</f>
        <v>-204.89882783333329</v>
      </c>
      <c r="J54" s="44">
        <f>'Annual Returns'!$H$151</f>
        <v>-103.50897833333332</v>
      </c>
      <c r="K54" s="44">
        <f>'Annual Returns'!$I$151</f>
        <v>92.369323333333256</v>
      </c>
      <c r="L54" s="44">
        <f>'Annual Returns'!$J$151</f>
        <v>143.62370499999997</v>
      </c>
      <c r="M54" s="44">
        <f>'Annual Returns'!$K$151</f>
        <v>150.656205</v>
      </c>
      <c r="N54" s="44">
        <f>'Annual Returns'!$L$151</f>
        <v>157.68870500000008</v>
      </c>
      <c r="O54" s="44">
        <f>'Annual Returns'!$M$151</f>
        <v>164.72120500000003</v>
      </c>
      <c r="P54" s="44">
        <f>'Annual Returns'!$N$151</f>
        <v>171.75370499999994</v>
      </c>
      <c r="Q54" s="44">
        <f>'Annual Returns'!$O$151</f>
        <v>178.786205</v>
      </c>
      <c r="S54" s="44">
        <f t="shared" si="22"/>
        <v>62.113176099999997</v>
      </c>
      <c r="T54" s="44">
        <f t="shared" si="23"/>
        <v>147.70557790922027</v>
      </c>
    </row>
    <row r="55" spans="2:20" x14ac:dyDescent="0.25">
      <c r="B55" s="1"/>
      <c r="C55" s="1"/>
      <c r="D55" s="1"/>
      <c r="E55" s="1"/>
      <c r="F55" s="1"/>
      <c r="G55" s="1"/>
      <c r="S55" s="44"/>
      <c r="T55" s="44"/>
    </row>
    <row r="56" spans="2:20" x14ac:dyDescent="0.25">
      <c r="B56" s="1"/>
      <c r="C56" s="1" t="str">
        <f>'Annual Returns'!$C$73</f>
        <v>Net Return to Land</v>
      </c>
      <c r="D56" s="1"/>
      <c r="E56" s="1"/>
      <c r="F56" s="1"/>
      <c r="G56" s="1"/>
      <c r="H56" s="44">
        <f>'Annual Returns'!$F$153</f>
        <v>124.94051383333334</v>
      </c>
      <c r="I56" s="44">
        <f>'Annual Returns'!$G$153</f>
        <v>50.101172166666657</v>
      </c>
      <c r="J56" s="44">
        <f>'Annual Returns'!$H$153</f>
        <v>151.49102166666665</v>
      </c>
      <c r="K56" s="44">
        <f>'Annual Returns'!$I$153</f>
        <v>347.36932333333317</v>
      </c>
      <c r="L56" s="44">
        <f>'Annual Returns'!$J$153</f>
        <v>398.62370499999986</v>
      </c>
      <c r="M56" s="44">
        <f>'Annual Returns'!$K$153</f>
        <v>405.656205</v>
      </c>
      <c r="N56" s="44">
        <f>'Annual Returns'!$L$153</f>
        <v>412.68870500000003</v>
      </c>
      <c r="O56" s="44">
        <f>'Annual Returns'!$M$153</f>
        <v>419.72120500000005</v>
      </c>
      <c r="P56" s="44">
        <f>'Annual Returns'!$N$153</f>
        <v>426.75370499999991</v>
      </c>
      <c r="Q56" s="44">
        <f>'Annual Returns'!$O$153</f>
        <v>433.78620499999994</v>
      </c>
      <c r="S56" s="44">
        <f t="shared" ref="S56" si="24">AVERAGE(H56:Q56)</f>
        <v>317.11317609999998</v>
      </c>
      <c r="T56" s="44">
        <f t="shared" ref="T56" si="25">STDEV(H56:Q56)</f>
        <v>147.70557790922024</v>
      </c>
    </row>
    <row r="58" spans="2:20" x14ac:dyDescent="0.25">
      <c r="C58" s="7" t="s">
        <v>206</v>
      </c>
      <c r="D58" s="7"/>
      <c r="E58" s="7"/>
      <c r="F58" s="7"/>
      <c r="H58" s="41">
        <f t="shared" ref="H58" si="26">H50/(1+$C$1)</f>
        <v>617.69457364341088</v>
      </c>
      <c r="I58" s="41">
        <f>I50/(1+$C$1)^2</f>
        <v>535.90337119163507</v>
      </c>
      <c r="J58" s="41">
        <f>J50/(1+$C$1)^3</f>
        <v>591.15365104120815</v>
      </c>
      <c r="K58" s="41">
        <f>K50/(1+$C$1)^4</f>
        <v>699.03337456611246</v>
      </c>
      <c r="L58" s="41">
        <f>L50/(1+$C$1)^5</f>
        <v>673.85314279761008</v>
      </c>
      <c r="M58" s="41">
        <f>M50/(1+$C$1)^6</f>
        <v>631.39692221359303</v>
      </c>
      <c r="N58" s="41">
        <f>N50/(1+$C$1)^7</f>
        <v>591.58484799274379</v>
      </c>
      <c r="O58" s="41">
        <f>O50/(1+$C$1)^8</f>
        <v>554.25462496121702</v>
      </c>
      <c r="P58" s="41">
        <f>P50/(1+$C$1)^9</f>
        <v>519.25373341167995</v>
      </c>
      <c r="Q58" s="41">
        <f>Q50/(1+$C$1)^10</f>
        <v>486.43885505583114</v>
      </c>
      <c r="S58" s="41">
        <f t="shared" ref="S58:S62" si="27">AVERAGE(H58:Q58)</f>
        <v>590.05670968750405</v>
      </c>
      <c r="T58" s="41">
        <f t="shared" ref="T58:T62" si="28">STDEV(H58:Q58)</f>
        <v>67.772703011843788</v>
      </c>
    </row>
    <row r="59" spans="2:20" x14ac:dyDescent="0.25">
      <c r="C59" s="7" t="s">
        <v>207</v>
      </c>
      <c r="D59" s="7"/>
      <c r="E59" s="7"/>
      <c r="F59" s="7"/>
      <c r="H59" s="41">
        <f t="shared" ref="H59" si="29">H51/(1+$C$1)</f>
        <v>357.43858558139522</v>
      </c>
      <c r="I59" s="41">
        <f>I51/(1+$C$1)^2</f>
        <v>341.43039004867489</v>
      </c>
      <c r="J59" s="41">
        <f>J51/(1+$C$1)^3</f>
        <v>300.92966170693558</v>
      </c>
      <c r="K59" s="41">
        <f>K51/(1+$C$1)^4</f>
        <v>283.43159105585062</v>
      </c>
      <c r="L59" s="41">
        <f>L51/(1+$C$1)^5</f>
        <v>254.3569255724085</v>
      </c>
      <c r="M59" s="41">
        <f>M51/(1+$C$1)^6</f>
        <v>236.6110935557289</v>
      </c>
      <c r="N59" s="41">
        <f>N51/(1+$C$1)^7</f>
        <v>220.1033428425385</v>
      </c>
      <c r="O59" s="41">
        <f>O51/(1+$C$1)^8</f>
        <v>204.74729566747766</v>
      </c>
      <c r="P59" s="41">
        <f>P51/(1+$C$1)^9</f>
        <v>190.46260062090948</v>
      </c>
      <c r="Q59" s="41">
        <f>Q51/(1+$C$1)^10</f>
        <v>177.17451220549722</v>
      </c>
      <c r="S59" s="41">
        <f t="shared" si="27"/>
        <v>256.66859988574163</v>
      </c>
      <c r="T59" s="41">
        <f t="shared" si="28"/>
        <v>62.50109505358742</v>
      </c>
    </row>
    <row r="60" spans="2:20" x14ac:dyDescent="0.25">
      <c r="C60" s="7" t="s">
        <v>208</v>
      </c>
      <c r="D60" s="7"/>
      <c r="E60" s="7"/>
      <c r="F60" s="7"/>
      <c r="H60" s="41">
        <f t="shared" ref="H60" si="30">H52/(1+$C$1)</f>
        <v>260.25598806201549</v>
      </c>
      <c r="I60" s="41">
        <f>I52/(1+$C$1)^2</f>
        <v>194.47298114296012</v>
      </c>
      <c r="J60" s="41">
        <f>J52/(1+$C$1)^3</f>
        <v>290.22398933427246</v>
      </c>
      <c r="K60" s="41">
        <f>K52/(1+$C$1)^4</f>
        <v>415.6017835102619</v>
      </c>
      <c r="L60" s="41">
        <f>L52/(1+$C$1)^5</f>
        <v>419.49621722520146</v>
      </c>
      <c r="M60" s="41">
        <f>M52/(1+$C$1)^6</f>
        <v>394.78582865786404</v>
      </c>
      <c r="N60" s="41">
        <f>N52/(1+$C$1)^7</f>
        <v>371.48150515020524</v>
      </c>
      <c r="O60" s="41">
        <f>O52/(1+$C$1)^8</f>
        <v>349.50732929373925</v>
      </c>
      <c r="P60" s="41">
        <f>P52/(1+$C$1)^9</f>
        <v>328.79113279077035</v>
      </c>
      <c r="Q60" s="41">
        <f>Q52/(1+$C$1)^10</f>
        <v>309.26434285033389</v>
      </c>
      <c r="S60" s="41">
        <f t="shared" si="27"/>
        <v>333.38810980176243</v>
      </c>
      <c r="T60" s="41">
        <f t="shared" si="28"/>
        <v>72.08502697153115</v>
      </c>
    </row>
    <row r="61" spans="2:20" x14ac:dyDescent="0.25">
      <c r="C61" s="7" t="s">
        <v>209</v>
      </c>
      <c r="D61" s="7"/>
      <c r="E61" s="7"/>
      <c r="F61" s="7"/>
      <c r="H61" s="41">
        <f t="shared" ref="H61" si="31">H53/(1+$C$1)</f>
        <v>381.24155658914725</v>
      </c>
      <c r="I61" s="41">
        <f>I53/(1+$C$1)^2</f>
        <v>371.77861907337291</v>
      </c>
      <c r="J61" s="41">
        <f>J53/(1+$C$1)^3</f>
        <v>373.54463548282962</v>
      </c>
      <c r="K61" s="41">
        <f>K53/(1+$C$1)^4</f>
        <v>346.43558526317662</v>
      </c>
      <c r="L61" s="41">
        <f>L53/(1+$C$1)^5</f>
        <v>319.45388569734507</v>
      </c>
      <c r="M61" s="41">
        <f>M53/(1+$C$1)^6</f>
        <v>297.1664052998558</v>
      </c>
      <c r="N61" s="41">
        <f>N53/(1+$C$1)^7</f>
        <v>276.43386539521475</v>
      </c>
      <c r="O61" s="41">
        <f>O53/(1+$C$1)^8</f>
        <v>257.14778176299052</v>
      </c>
      <c r="P61" s="41">
        <f>P53/(1+$C$1)^9</f>
        <v>239.20723884929342</v>
      </c>
      <c r="Q61" s="41">
        <f>Q53/(1+$C$1)^10</f>
        <v>222.51836172027302</v>
      </c>
      <c r="S61" s="41">
        <f t="shared" si="27"/>
        <v>308.49279351334985</v>
      </c>
      <c r="T61" s="41">
        <f t="shared" si="28"/>
        <v>58.758909072081863</v>
      </c>
    </row>
    <row r="62" spans="2:20" x14ac:dyDescent="0.25">
      <c r="C62" s="7" t="s">
        <v>210</v>
      </c>
      <c r="D62" s="7"/>
      <c r="E62" s="7"/>
      <c r="F62" s="7"/>
      <c r="H62" s="41">
        <f t="shared" ref="H62" si="32">H54/(1+$C$1)</f>
        <v>-120.98556852713176</v>
      </c>
      <c r="I62" s="41">
        <f>I54/(1+$C$1)^2</f>
        <v>-177.30563793041281</v>
      </c>
      <c r="J62" s="41">
        <f>J54/(1+$C$1)^3</f>
        <v>-83.320646148557145</v>
      </c>
      <c r="K62" s="41">
        <f>K54/(1+$C$1)^4</f>
        <v>69.166198247085205</v>
      </c>
      <c r="L62" s="41">
        <f>L54/(1+$C$1)^5</f>
        <v>100.04233152785652</v>
      </c>
      <c r="M62" s="41">
        <f>M54/(1+$C$1)^6</f>
        <v>97.619423358008135</v>
      </c>
      <c r="N62" s="41">
        <f>N54/(1+$C$1)^7</f>
        <v>95.047639754990584</v>
      </c>
      <c r="O62" s="41">
        <f>O54/(1+$C$1)^8</f>
        <v>92.359547530748756</v>
      </c>
      <c r="P62" s="41">
        <f>P54/(1+$C$1)^9</f>
        <v>89.583893941476887</v>
      </c>
      <c r="Q62" s="41">
        <f>Q54/(1+$C$1)^10</f>
        <v>86.745981130060912</v>
      </c>
      <c r="S62" s="41">
        <f t="shared" si="27"/>
        <v>24.895316288412523</v>
      </c>
      <c r="T62" s="41">
        <f t="shared" si="28"/>
        <v>107.62890019290279</v>
      </c>
    </row>
    <row r="63" spans="2:20" x14ac:dyDescent="0.25">
      <c r="C63" s="7"/>
      <c r="D63" s="7"/>
      <c r="E63" s="7"/>
      <c r="F63" s="7"/>
      <c r="S63" s="41"/>
      <c r="T63" s="41"/>
    </row>
    <row r="64" spans="2:20" x14ac:dyDescent="0.25">
      <c r="C64" s="7" t="s">
        <v>211</v>
      </c>
      <c r="D64" s="7"/>
      <c r="E64" s="7"/>
      <c r="F64" s="7"/>
      <c r="H64" s="41">
        <f>H56/(1+$C$1)</f>
        <v>116.22373379844963</v>
      </c>
      <c r="I64" s="41">
        <f>I56/(1+$C$1)^2</f>
        <v>43.354178186407061</v>
      </c>
      <c r="J64" s="41">
        <f>J56/(1+$C$1)^3</f>
        <v>121.9442990763916</v>
      </c>
      <c r="K64" s="41">
        <f>K56/(1+$C$1)^4</f>
        <v>260.11033334006072</v>
      </c>
      <c r="L64" s="41">
        <f>L56/(1+$C$1)^5</f>
        <v>277.66478277713605</v>
      </c>
      <c r="M64" s="41">
        <f>M56/(1+$C$1)^6</f>
        <v>262.84961056664037</v>
      </c>
      <c r="N64" s="41">
        <f>N56/(1+$C$1)^7</f>
        <v>248.75013948395076</v>
      </c>
      <c r="O64" s="41">
        <f>O56/(1+$C$1)^8</f>
        <v>235.33861704606059</v>
      </c>
      <c r="P64" s="41">
        <f>P56/(1+$C$1)^9</f>
        <v>222.58767953711578</v>
      </c>
      <c r="Q64" s="41">
        <f>Q56/(1+$C$1)^10</f>
        <v>210.4704328469343</v>
      </c>
      <c r="S64" s="41">
        <f t="shared" ref="S64" si="33">AVERAGE(H64:Q64)</f>
        <v>199.92938066591469</v>
      </c>
      <c r="T64" s="41">
        <f t="shared" ref="T64" si="34">STDEV(H64:Q64)</f>
        <v>78.520620248483439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39"/>
  <sheetViews>
    <sheetView zoomScale="150" zoomScaleNormal="150" workbookViewId="0"/>
  </sheetViews>
  <sheetFormatPr defaultRowHeight="15" x14ac:dyDescent="0.25"/>
  <cols>
    <col min="5" max="5" width="25.7109375" customWidth="1"/>
    <col min="6" max="6" width="10.7109375" customWidth="1"/>
    <col min="7" max="7" width="4.7109375" customWidth="1"/>
    <col min="8" max="8" width="25.7109375" customWidth="1"/>
    <col min="9" max="9" width="10.7109375" customWidth="1"/>
    <col min="10" max="10" width="4.7109375" customWidth="1"/>
    <col min="11" max="11" width="25.7109375" customWidth="1"/>
    <col min="12" max="12" width="10.7109375" customWidth="1"/>
    <col min="13" max="13" width="4.7109375" customWidth="1"/>
    <col min="14" max="14" width="25.7109375" customWidth="1"/>
    <col min="15" max="15" width="10.7109375" customWidth="1"/>
    <col min="16" max="16" width="4.7109375" customWidth="1"/>
    <col min="17" max="17" width="25.7109375" customWidth="1"/>
    <col min="18" max="18" width="10.7109375" customWidth="1"/>
    <col min="19" max="19" width="4.7109375" customWidth="1"/>
    <col min="20" max="20" width="25.7109375" customWidth="1"/>
    <col min="21" max="21" width="10.7109375" customWidth="1"/>
    <col min="22" max="22" width="4.7109375" customWidth="1"/>
    <col min="23" max="23" width="25.7109375" customWidth="1"/>
    <col min="24" max="24" width="10.7109375" customWidth="1"/>
    <col min="25" max="25" width="4.7109375" customWidth="1"/>
    <col min="26" max="26" width="25.7109375" customWidth="1"/>
    <col min="27" max="27" width="10.7109375" customWidth="1"/>
    <col min="28" max="28" width="4.7109375" customWidth="1"/>
    <col min="29" max="29" width="25.7109375" customWidth="1"/>
    <col min="30" max="30" width="10.7109375" customWidth="1"/>
    <col min="31" max="31" width="4.7109375" customWidth="1"/>
    <col min="32" max="32" width="25.7109375" customWidth="1"/>
    <col min="33" max="33" width="10.7109375" customWidth="1"/>
  </cols>
  <sheetData>
    <row r="1" spans="1:33" x14ac:dyDescent="0.25">
      <c r="A1" s="1" t="s">
        <v>147</v>
      </c>
    </row>
    <row r="3" spans="1:33" x14ac:dyDescent="0.25">
      <c r="B3" s="7" t="s">
        <v>141</v>
      </c>
    </row>
    <row r="5" spans="1:33" x14ac:dyDescent="0.25">
      <c r="E5" s="47" t="s">
        <v>54</v>
      </c>
      <c r="F5" s="47"/>
      <c r="G5" s="6"/>
      <c r="H5" s="47" t="s">
        <v>55</v>
      </c>
      <c r="I5" s="47"/>
      <c r="J5" s="6"/>
      <c r="K5" s="47" t="s">
        <v>56</v>
      </c>
      <c r="L5" s="47"/>
      <c r="M5" s="6"/>
      <c r="N5" s="47" t="s">
        <v>57</v>
      </c>
      <c r="O5" s="47"/>
      <c r="P5" s="6"/>
      <c r="Q5" s="47" t="s">
        <v>58</v>
      </c>
      <c r="R5" s="47"/>
      <c r="S5" s="6"/>
      <c r="T5" s="47" t="s">
        <v>59</v>
      </c>
      <c r="U5" s="47"/>
      <c r="V5" s="6"/>
      <c r="W5" s="47" t="s">
        <v>60</v>
      </c>
      <c r="X5" s="47"/>
      <c r="Z5" s="47" t="s">
        <v>61</v>
      </c>
      <c r="AA5" s="47"/>
      <c r="AC5" s="47" t="s">
        <v>62</v>
      </c>
      <c r="AD5" s="47"/>
      <c r="AF5" s="47" t="s">
        <v>63</v>
      </c>
      <c r="AG5" s="47"/>
    </row>
    <row r="6" spans="1:33" x14ac:dyDescent="0.25">
      <c r="E6" s="5" t="s">
        <v>65</v>
      </c>
      <c r="F6" s="8" t="s">
        <v>71</v>
      </c>
      <c r="G6" s="8"/>
      <c r="H6" s="5" t="s">
        <v>65</v>
      </c>
      <c r="I6" s="8" t="s">
        <v>71</v>
      </c>
      <c r="J6" s="8"/>
      <c r="K6" s="5" t="s">
        <v>65</v>
      </c>
      <c r="L6" s="8" t="s">
        <v>71</v>
      </c>
      <c r="M6" s="8"/>
      <c r="N6" s="5" t="s">
        <v>65</v>
      </c>
      <c r="O6" s="8" t="s">
        <v>64</v>
      </c>
      <c r="P6" s="8"/>
      <c r="Q6" s="5" t="s">
        <v>65</v>
      </c>
      <c r="R6" s="8" t="s">
        <v>71</v>
      </c>
      <c r="S6" s="8"/>
      <c r="T6" s="5" t="s">
        <v>65</v>
      </c>
      <c r="U6" s="4" t="s">
        <v>71</v>
      </c>
      <c r="V6" s="4"/>
      <c r="W6" s="5" t="s">
        <v>65</v>
      </c>
      <c r="X6" s="8" t="s">
        <v>71</v>
      </c>
      <c r="Y6" s="4"/>
      <c r="Z6" s="5" t="s">
        <v>65</v>
      </c>
      <c r="AA6" s="8" t="s">
        <v>71</v>
      </c>
      <c r="AB6" s="4"/>
      <c r="AC6" s="5" t="s">
        <v>65</v>
      </c>
      <c r="AD6" s="8" t="s">
        <v>71</v>
      </c>
      <c r="AE6" s="4"/>
      <c r="AF6" s="5" t="s">
        <v>65</v>
      </c>
      <c r="AG6" s="8" t="s">
        <v>71</v>
      </c>
    </row>
    <row r="8" spans="1:33" x14ac:dyDescent="0.25">
      <c r="C8" t="s">
        <v>67</v>
      </c>
      <c r="E8" t="s">
        <v>0</v>
      </c>
      <c r="F8" s="26">
        <f>(1/6)*100</f>
        <v>16.666666666666664</v>
      </c>
      <c r="G8" s="9"/>
      <c r="H8" t="s">
        <v>66</v>
      </c>
      <c r="I8" s="26">
        <f>(1/6)*100</f>
        <v>16.666666666666664</v>
      </c>
      <c r="J8" s="9"/>
      <c r="K8" t="s">
        <v>0</v>
      </c>
      <c r="L8" s="26">
        <f>(1/6)*100</f>
        <v>16.666666666666664</v>
      </c>
      <c r="M8" s="9"/>
      <c r="N8" t="s">
        <v>66</v>
      </c>
      <c r="O8" s="26">
        <f>(1/6)*100</f>
        <v>16.666666666666664</v>
      </c>
      <c r="P8" s="9"/>
      <c r="Q8" t="s">
        <v>0</v>
      </c>
      <c r="R8" s="26">
        <f>(1/6)*100</f>
        <v>16.666666666666664</v>
      </c>
      <c r="S8" s="9"/>
      <c r="T8" t="s">
        <v>66</v>
      </c>
      <c r="U8" s="26">
        <f>(1/6)*100</f>
        <v>16.666666666666664</v>
      </c>
      <c r="W8" t="s">
        <v>0</v>
      </c>
      <c r="X8" s="26">
        <f>(1/6)*100</f>
        <v>16.666666666666664</v>
      </c>
      <c r="Z8" t="s">
        <v>66</v>
      </c>
      <c r="AA8" s="26">
        <f>(1/6)*100</f>
        <v>16.666666666666664</v>
      </c>
      <c r="AC8" t="s">
        <v>0</v>
      </c>
      <c r="AD8" s="26">
        <f>(1/6)*100</f>
        <v>16.666666666666664</v>
      </c>
      <c r="AF8" t="s">
        <v>66</v>
      </c>
      <c r="AG8" s="26">
        <f>(1/6)*100</f>
        <v>16.666666666666664</v>
      </c>
    </row>
    <row r="9" spans="1:33" x14ac:dyDescent="0.25">
      <c r="C9" t="s">
        <v>68</v>
      </c>
      <c r="E9" t="s">
        <v>66</v>
      </c>
      <c r="F9" s="26">
        <f t="shared" ref="F9:F13" si="0">(1/6)*100</f>
        <v>16.666666666666664</v>
      </c>
      <c r="G9" s="9"/>
      <c r="H9" t="s">
        <v>0</v>
      </c>
      <c r="I9" s="26">
        <f t="shared" ref="I9:I13" si="1">(1/6)*100</f>
        <v>16.666666666666664</v>
      </c>
      <c r="J9" s="9"/>
      <c r="K9" t="s">
        <v>66</v>
      </c>
      <c r="L9" s="26">
        <f t="shared" ref="L9:L13" si="2">(1/6)*100</f>
        <v>16.666666666666664</v>
      </c>
      <c r="M9" s="9"/>
      <c r="N9" t="s">
        <v>0</v>
      </c>
      <c r="O9" s="26">
        <f t="shared" ref="O9:O13" si="3">(1/6)*100</f>
        <v>16.666666666666664</v>
      </c>
      <c r="P9" s="9"/>
      <c r="Q9" t="s">
        <v>66</v>
      </c>
      <c r="R9" s="26">
        <f t="shared" ref="R9:R13" si="4">(1/6)*100</f>
        <v>16.666666666666664</v>
      </c>
      <c r="S9" s="9"/>
      <c r="T9" t="s">
        <v>0</v>
      </c>
      <c r="U9" s="26">
        <f t="shared" ref="U9:U13" si="5">(1/6)*100</f>
        <v>16.666666666666664</v>
      </c>
      <c r="W9" t="s">
        <v>66</v>
      </c>
      <c r="X9" s="26">
        <f t="shared" ref="X9:X13" si="6">(1/6)*100</f>
        <v>16.666666666666664</v>
      </c>
      <c r="Z9" t="s">
        <v>0</v>
      </c>
      <c r="AA9" s="26">
        <f t="shared" ref="AA9:AA13" si="7">(1/6)*100</f>
        <v>16.666666666666664</v>
      </c>
      <c r="AC9" t="s">
        <v>66</v>
      </c>
      <c r="AD9" s="26">
        <f t="shared" ref="AD9:AD13" si="8">(1/6)*100</f>
        <v>16.666666666666664</v>
      </c>
      <c r="AF9" t="s">
        <v>0</v>
      </c>
      <c r="AG9" s="26">
        <f t="shared" ref="AG9:AG13" si="9">(1/6)*100</f>
        <v>16.666666666666664</v>
      </c>
    </row>
    <row r="10" spans="1:33" x14ac:dyDescent="0.25">
      <c r="C10" t="s">
        <v>69</v>
      </c>
      <c r="E10" t="s">
        <v>0</v>
      </c>
      <c r="F10" s="26">
        <f t="shared" si="0"/>
        <v>16.666666666666664</v>
      </c>
      <c r="G10" s="2"/>
      <c r="H10" t="s">
        <v>66</v>
      </c>
      <c r="I10" s="26">
        <f t="shared" si="1"/>
        <v>16.666666666666664</v>
      </c>
      <c r="J10" s="2"/>
      <c r="K10" t="s">
        <v>0</v>
      </c>
      <c r="L10" s="26">
        <f t="shared" si="2"/>
        <v>16.666666666666664</v>
      </c>
      <c r="M10" s="9"/>
      <c r="N10" t="s">
        <v>66</v>
      </c>
      <c r="O10" s="26">
        <f t="shared" si="3"/>
        <v>16.666666666666664</v>
      </c>
      <c r="P10" s="9"/>
      <c r="Q10" t="s">
        <v>0</v>
      </c>
      <c r="R10" s="26">
        <f t="shared" si="4"/>
        <v>16.666666666666664</v>
      </c>
      <c r="S10" s="9"/>
      <c r="T10" t="s">
        <v>66</v>
      </c>
      <c r="U10" s="26">
        <f t="shared" si="5"/>
        <v>16.666666666666664</v>
      </c>
      <c r="W10" t="s">
        <v>0</v>
      </c>
      <c r="X10" s="26">
        <f t="shared" si="6"/>
        <v>16.666666666666664</v>
      </c>
      <c r="Z10" t="s">
        <v>66</v>
      </c>
      <c r="AA10" s="26">
        <f t="shared" si="7"/>
        <v>16.666666666666664</v>
      </c>
      <c r="AC10" t="s">
        <v>0</v>
      </c>
      <c r="AD10" s="26">
        <f t="shared" si="8"/>
        <v>16.666666666666664</v>
      </c>
      <c r="AF10" t="s">
        <v>66</v>
      </c>
      <c r="AG10" s="26">
        <f t="shared" si="9"/>
        <v>16.666666666666664</v>
      </c>
    </row>
    <row r="11" spans="1:33" x14ac:dyDescent="0.25">
      <c r="C11" t="s">
        <v>70</v>
      </c>
      <c r="E11" t="s">
        <v>66</v>
      </c>
      <c r="F11" s="26">
        <f t="shared" si="0"/>
        <v>16.666666666666664</v>
      </c>
      <c r="G11" s="2"/>
      <c r="H11" t="s">
        <v>0</v>
      </c>
      <c r="I11" s="26">
        <f t="shared" si="1"/>
        <v>16.666666666666664</v>
      </c>
      <c r="J11" s="2"/>
      <c r="K11" t="s">
        <v>66</v>
      </c>
      <c r="L11" s="26">
        <f t="shared" si="2"/>
        <v>16.666666666666664</v>
      </c>
      <c r="M11" s="9"/>
      <c r="N11" t="s">
        <v>0</v>
      </c>
      <c r="O11" s="26">
        <f t="shared" si="3"/>
        <v>16.666666666666664</v>
      </c>
      <c r="P11" s="9"/>
      <c r="Q11" t="s">
        <v>66</v>
      </c>
      <c r="R11" s="26">
        <f t="shared" si="4"/>
        <v>16.666666666666664</v>
      </c>
      <c r="S11" s="9"/>
      <c r="T11" t="s">
        <v>0</v>
      </c>
      <c r="U11" s="26">
        <f t="shared" si="5"/>
        <v>16.666666666666664</v>
      </c>
      <c r="W11" t="s">
        <v>66</v>
      </c>
      <c r="X11" s="26">
        <f t="shared" si="6"/>
        <v>16.666666666666664</v>
      </c>
      <c r="Z11" t="s">
        <v>0</v>
      </c>
      <c r="AA11" s="26">
        <f t="shared" si="7"/>
        <v>16.666666666666664</v>
      </c>
      <c r="AC11" t="s">
        <v>66</v>
      </c>
      <c r="AD11" s="26">
        <f t="shared" si="8"/>
        <v>16.666666666666664</v>
      </c>
      <c r="AF11" t="s">
        <v>0</v>
      </c>
      <c r="AG11" s="26">
        <f t="shared" si="9"/>
        <v>16.666666666666664</v>
      </c>
    </row>
    <row r="12" spans="1:33" x14ac:dyDescent="0.25">
      <c r="C12" t="s">
        <v>138</v>
      </c>
      <c r="E12" t="s">
        <v>0</v>
      </c>
      <c r="F12" s="26">
        <f t="shared" si="0"/>
        <v>16.666666666666664</v>
      </c>
      <c r="H12" t="s">
        <v>66</v>
      </c>
      <c r="I12" s="26">
        <f t="shared" si="1"/>
        <v>16.666666666666664</v>
      </c>
      <c r="K12" t="s">
        <v>0</v>
      </c>
      <c r="L12" s="26">
        <f t="shared" si="2"/>
        <v>16.666666666666664</v>
      </c>
      <c r="N12" t="s">
        <v>66</v>
      </c>
      <c r="O12" s="26">
        <f t="shared" si="3"/>
        <v>16.666666666666664</v>
      </c>
      <c r="Q12" t="s">
        <v>0</v>
      </c>
      <c r="R12" s="26">
        <f t="shared" si="4"/>
        <v>16.666666666666664</v>
      </c>
      <c r="T12" t="s">
        <v>66</v>
      </c>
      <c r="U12" s="26">
        <f t="shared" si="5"/>
        <v>16.666666666666664</v>
      </c>
      <c r="W12" t="s">
        <v>0</v>
      </c>
      <c r="X12" s="26">
        <f t="shared" si="6"/>
        <v>16.666666666666664</v>
      </c>
      <c r="Z12" t="s">
        <v>66</v>
      </c>
      <c r="AA12" s="26">
        <f t="shared" si="7"/>
        <v>16.666666666666664</v>
      </c>
      <c r="AC12" t="s">
        <v>0</v>
      </c>
      <c r="AD12" s="26">
        <f t="shared" si="8"/>
        <v>16.666666666666664</v>
      </c>
      <c r="AF12" t="s">
        <v>66</v>
      </c>
      <c r="AG12" s="26">
        <f t="shared" si="9"/>
        <v>16.666666666666664</v>
      </c>
    </row>
    <row r="13" spans="1:33" x14ac:dyDescent="0.25">
      <c r="C13" t="s">
        <v>139</v>
      </c>
      <c r="E13" t="s">
        <v>66</v>
      </c>
      <c r="F13" s="26">
        <f t="shared" si="0"/>
        <v>16.666666666666664</v>
      </c>
      <c r="H13" t="s">
        <v>0</v>
      </c>
      <c r="I13" s="26">
        <f t="shared" si="1"/>
        <v>16.666666666666664</v>
      </c>
      <c r="K13" t="s">
        <v>66</v>
      </c>
      <c r="L13" s="26">
        <f t="shared" si="2"/>
        <v>16.666666666666664</v>
      </c>
      <c r="N13" t="s">
        <v>0</v>
      </c>
      <c r="O13" s="26">
        <f t="shared" si="3"/>
        <v>16.666666666666664</v>
      </c>
      <c r="Q13" t="s">
        <v>66</v>
      </c>
      <c r="R13" s="26">
        <f t="shared" si="4"/>
        <v>16.666666666666664</v>
      </c>
      <c r="T13" t="s">
        <v>0</v>
      </c>
      <c r="U13" s="26">
        <f t="shared" si="5"/>
        <v>16.666666666666664</v>
      </c>
      <c r="W13" t="s">
        <v>66</v>
      </c>
      <c r="X13" s="26">
        <f t="shared" si="6"/>
        <v>16.666666666666664</v>
      </c>
      <c r="Z13" t="s">
        <v>0</v>
      </c>
      <c r="AA13" s="26">
        <f t="shared" si="7"/>
        <v>16.666666666666664</v>
      </c>
      <c r="AC13" t="s">
        <v>66</v>
      </c>
      <c r="AD13" s="26">
        <f t="shared" si="8"/>
        <v>16.666666666666664</v>
      </c>
      <c r="AF13" t="s">
        <v>0</v>
      </c>
      <c r="AG13" s="26">
        <f t="shared" si="9"/>
        <v>16.666666666666664</v>
      </c>
    </row>
    <row r="16" spans="1:33" x14ac:dyDescent="0.25">
      <c r="B16" s="7" t="s">
        <v>142</v>
      </c>
    </row>
    <row r="18" spans="2:33" x14ac:dyDescent="0.25">
      <c r="E18" s="47" t="s">
        <v>54</v>
      </c>
      <c r="F18" s="47"/>
      <c r="G18" s="6"/>
      <c r="H18" s="47" t="s">
        <v>55</v>
      </c>
      <c r="I18" s="47"/>
      <c r="K18" s="47" t="s">
        <v>56</v>
      </c>
      <c r="L18" s="47"/>
      <c r="N18" s="47" t="s">
        <v>57</v>
      </c>
      <c r="O18" s="47"/>
      <c r="Q18" s="47" t="s">
        <v>58</v>
      </c>
      <c r="R18" s="47"/>
      <c r="S18" s="6"/>
      <c r="T18" s="47" t="s">
        <v>59</v>
      </c>
      <c r="U18" s="47"/>
      <c r="W18" s="47" t="s">
        <v>60</v>
      </c>
      <c r="X18" s="47"/>
      <c r="Z18" s="47" t="s">
        <v>61</v>
      </c>
      <c r="AA18" s="47"/>
      <c r="AC18" s="47" t="s">
        <v>62</v>
      </c>
      <c r="AD18" s="47"/>
      <c r="AF18" s="47" t="s">
        <v>63</v>
      </c>
      <c r="AG18" s="47"/>
    </row>
    <row r="19" spans="2:33" x14ac:dyDescent="0.25">
      <c r="E19" t="s">
        <v>65</v>
      </c>
      <c r="F19" s="4" t="s">
        <v>71</v>
      </c>
      <c r="G19" s="4"/>
      <c r="H19" t="s">
        <v>65</v>
      </c>
      <c r="I19" s="8" t="s">
        <v>71</v>
      </c>
      <c r="K19" t="s">
        <v>65</v>
      </c>
      <c r="L19" s="8" t="s">
        <v>71</v>
      </c>
      <c r="N19" t="s">
        <v>65</v>
      </c>
      <c r="O19" s="8" t="s">
        <v>71</v>
      </c>
      <c r="Q19" t="s">
        <v>65</v>
      </c>
      <c r="R19" s="8" t="s">
        <v>71</v>
      </c>
      <c r="S19" s="8"/>
      <c r="T19" s="5" t="s">
        <v>65</v>
      </c>
      <c r="U19" s="8" t="s">
        <v>71</v>
      </c>
      <c r="W19" s="5" t="s">
        <v>65</v>
      </c>
      <c r="X19" s="8" t="s">
        <v>71</v>
      </c>
      <c r="Z19" t="s">
        <v>65</v>
      </c>
      <c r="AA19" s="8" t="s">
        <v>71</v>
      </c>
      <c r="AC19" t="s">
        <v>65</v>
      </c>
      <c r="AD19" s="8" t="s">
        <v>71</v>
      </c>
      <c r="AF19" t="s">
        <v>65</v>
      </c>
      <c r="AG19" s="8" t="s">
        <v>71</v>
      </c>
    </row>
    <row r="21" spans="2:33" x14ac:dyDescent="0.25">
      <c r="C21" t="s">
        <v>67</v>
      </c>
      <c r="E21" t="s">
        <v>0</v>
      </c>
      <c r="F21" s="26">
        <f>(1/6)*100</f>
        <v>16.666666666666664</v>
      </c>
      <c r="G21" s="2"/>
      <c r="H21" t="s">
        <v>66</v>
      </c>
      <c r="I21" s="26">
        <f>(1/6)*100</f>
        <v>16.666666666666664</v>
      </c>
      <c r="K21" t="s">
        <v>140</v>
      </c>
      <c r="L21" s="26">
        <f>(1/6)*100</f>
        <v>16.666666666666664</v>
      </c>
      <c r="N21" t="s">
        <v>0</v>
      </c>
      <c r="O21" s="26">
        <f>(1/6)*100</f>
        <v>16.666666666666664</v>
      </c>
      <c r="Q21" t="s">
        <v>66</v>
      </c>
      <c r="R21" s="26">
        <f>(1/6)*100</f>
        <v>16.666666666666664</v>
      </c>
      <c r="T21" t="s">
        <v>140</v>
      </c>
      <c r="U21" s="26">
        <f>(1/6)*100</f>
        <v>16.666666666666664</v>
      </c>
      <c r="W21" t="s">
        <v>0</v>
      </c>
      <c r="X21" s="26">
        <f>(1/6)*100</f>
        <v>16.666666666666664</v>
      </c>
      <c r="Z21" t="s">
        <v>66</v>
      </c>
      <c r="AA21" s="26">
        <f>(1/6)*100</f>
        <v>16.666666666666664</v>
      </c>
      <c r="AC21" t="s">
        <v>140</v>
      </c>
      <c r="AD21" s="26">
        <f>(1/6)*100</f>
        <v>16.666666666666664</v>
      </c>
      <c r="AF21" t="s">
        <v>0</v>
      </c>
      <c r="AG21" s="26">
        <f>(1/6)*100</f>
        <v>16.666666666666664</v>
      </c>
    </row>
    <row r="22" spans="2:33" x14ac:dyDescent="0.25">
      <c r="C22" t="s">
        <v>68</v>
      </c>
      <c r="E22" t="s">
        <v>66</v>
      </c>
      <c r="F22" s="26">
        <f t="shared" ref="F22:F26" si="10">(1/6)*100</f>
        <v>16.666666666666664</v>
      </c>
      <c r="G22" s="2"/>
      <c r="H22" t="s">
        <v>140</v>
      </c>
      <c r="I22" s="26">
        <f t="shared" ref="I22:I26" si="11">(1/6)*100</f>
        <v>16.666666666666664</v>
      </c>
      <c r="K22" t="s">
        <v>0</v>
      </c>
      <c r="L22" s="26">
        <f t="shared" ref="L22:L26" si="12">(1/6)*100</f>
        <v>16.666666666666664</v>
      </c>
      <c r="N22" t="s">
        <v>66</v>
      </c>
      <c r="O22" s="26">
        <f t="shared" ref="O22:O26" si="13">(1/6)*100</f>
        <v>16.666666666666664</v>
      </c>
      <c r="Q22" t="s">
        <v>140</v>
      </c>
      <c r="R22" s="26">
        <f t="shared" ref="R22:R26" si="14">(1/6)*100</f>
        <v>16.666666666666664</v>
      </c>
      <c r="T22" t="s">
        <v>0</v>
      </c>
      <c r="U22" s="26">
        <f t="shared" ref="U22:U26" si="15">(1/6)*100</f>
        <v>16.666666666666664</v>
      </c>
      <c r="W22" t="s">
        <v>66</v>
      </c>
      <c r="X22" s="26">
        <f t="shared" ref="X22:X26" si="16">(1/6)*100</f>
        <v>16.666666666666664</v>
      </c>
      <c r="Z22" t="s">
        <v>140</v>
      </c>
      <c r="AA22" s="26">
        <f t="shared" ref="AA22:AA26" si="17">(1/6)*100</f>
        <v>16.666666666666664</v>
      </c>
      <c r="AC22" t="s">
        <v>0</v>
      </c>
      <c r="AD22" s="26">
        <f t="shared" ref="AD22:AD26" si="18">(1/6)*100</f>
        <v>16.666666666666664</v>
      </c>
      <c r="AF22" t="s">
        <v>66</v>
      </c>
      <c r="AG22" s="26">
        <f t="shared" ref="AG22:AG26" si="19">(1/6)*100</f>
        <v>16.666666666666664</v>
      </c>
    </row>
    <row r="23" spans="2:33" x14ac:dyDescent="0.25">
      <c r="C23" t="s">
        <v>69</v>
      </c>
      <c r="E23" t="s">
        <v>140</v>
      </c>
      <c r="F23" s="26">
        <f t="shared" si="10"/>
        <v>16.666666666666664</v>
      </c>
      <c r="G23" s="2"/>
      <c r="H23" t="s">
        <v>0</v>
      </c>
      <c r="I23" s="26">
        <f t="shared" si="11"/>
        <v>16.666666666666664</v>
      </c>
      <c r="K23" t="s">
        <v>66</v>
      </c>
      <c r="L23" s="26">
        <f t="shared" si="12"/>
        <v>16.666666666666664</v>
      </c>
      <c r="N23" t="s">
        <v>140</v>
      </c>
      <c r="O23" s="26">
        <f t="shared" si="13"/>
        <v>16.666666666666664</v>
      </c>
      <c r="Q23" t="s">
        <v>0</v>
      </c>
      <c r="R23" s="26">
        <f t="shared" si="14"/>
        <v>16.666666666666664</v>
      </c>
      <c r="T23" t="s">
        <v>66</v>
      </c>
      <c r="U23" s="26">
        <f t="shared" si="15"/>
        <v>16.666666666666664</v>
      </c>
      <c r="W23" t="s">
        <v>140</v>
      </c>
      <c r="X23" s="26">
        <f t="shared" si="16"/>
        <v>16.666666666666664</v>
      </c>
      <c r="Z23" t="s">
        <v>0</v>
      </c>
      <c r="AA23" s="26">
        <f t="shared" si="17"/>
        <v>16.666666666666664</v>
      </c>
      <c r="AC23" t="s">
        <v>66</v>
      </c>
      <c r="AD23" s="26">
        <f t="shared" si="18"/>
        <v>16.666666666666664</v>
      </c>
      <c r="AF23" t="s">
        <v>140</v>
      </c>
      <c r="AG23" s="26">
        <f t="shared" si="19"/>
        <v>16.666666666666664</v>
      </c>
    </row>
    <row r="24" spans="2:33" x14ac:dyDescent="0.25">
      <c r="C24" t="s">
        <v>70</v>
      </c>
      <c r="E24" t="s">
        <v>0</v>
      </c>
      <c r="F24" s="26">
        <f t="shared" si="10"/>
        <v>16.666666666666664</v>
      </c>
      <c r="G24" s="2"/>
      <c r="H24" t="s">
        <v>66</v>
      </c>
      <c r="I24" s="26">
        <f t="shared" si="11"/>
        <v>16.666666666666664</v>
      </c>
      <c r="K24" t="s">
        <v>140</v>
      </c>
      <c r="L24" s="26">
        <f t="shared" si="12"/>
        <v>16.666666666666664</v>
      </c>
      <c r="N24" t="s">
        <v>0</v>
      </c>
      <c r="O24" s="26">
        <f t="shared" si="13"/>
        <v>16.666666666666664</v>
      </c>
      <c r="Q24" t="s">
        <v>66</v>
      </c>
      <c r="R24" s="26">
        <f t="shared" si="14"/>
        <v>16.666666666666664</v>
      </c>
      <c r="T24" t="s">
        <v>140</v>
      </c>
      <c r="U24" s="26">
        <f t="shared" si="15"/>
        <v>16.666666666666664</v>
      </c>
      <c r="W24" t="s">
        <v>0</v>
      </c>
      <c r="X24" s="26">
        <f t="shared" si="16"/>
        <v>16.666666666666664</v>
      </c>
      <c r="Z24" t="s">
        <v>66</v>
      </c>
      <c r="AA24" s="26">
        <f t="shared" si="17"/>
        <v>16.666666666666664</v>
      </c>
      <c r="AC24" t="s">
        <v>140</v>
      </c>
      <c r="AD24" s="26">
        <f t="shared" si="18"/>
        <v>16.666666666666664</v>
      </c>
      <c r="AF24" t="s">
        <v>0</v>
      </c>
      <c r="AG24" s="26">
        <f t="shared" si="19"/>
        <v>16.666666666666664</v>
      </c>
    </row>
    <row r="25" spans="2:33" x14ac:dyDescent="0.25">
      <c r="C25" t="s">
        <v>138</v>
      </c>
      <c r="E25" t="s">
        <v>66</v>
      </c>
      <c r="F25" s="26">
        <f t="shared" si="10"/>
        <v>16.666666666666664</v>
      </c>
      <c r="H25" t="s">
        <v>140</v>
      </c>
      <c r="I25" s="26">
        <f t="shared" si="11"/>
        <v>16.666666666666664</v>
      </c>
      <c r="K25" t="s">
        <v>0</v>
      </c>
      <c r="L25" s="26">
        <f t="shared" si="12"/>
        <v>16.666666666666664</v>
      </c>
      <c r="N25" t="s">
        <v>66</v>
      </c>
      <c r="O25" s="26">
        <f t="shared" si="13"/>
        <v>16.666666666666664</v>
      </c>
      <c r="Q25" t="s">
        <v>140</v>
      </c>
      <c r="R25" s="26">
        <f t="shared" si="14"/>
        <v>16.666666666666664</v>
      </c>
      <c r="T25" t="s">
        <v>0</v>
      </c>
      <c r="U25" s="26">
        <f t="shared" si="15"/>
        <v>16.666666666666664</v>
      </c>
      <c r="W25" t="s">
        <v>66</v>
      </c>
      <c r="X25" s="26">
        <f t="shared" si="16"/>
        <v>16.666666666666664</v>
      </c>
      <c r="Z25" t="s">
        <v>140</v>
      </c>
      <c r="AA25" s="26">
        <f t="shared" si="17"/>
        <v>16.666666666666664</v>
      </c>
      <c r="AC25" t="s">
        <v>0</v>
      </c>
      <c r="AD25" s="26">
        <f t="shared" si="18"/>
        <v>16.666666666666664</v>
      </c>
      <c r="AF25" t="s">
        <v>66</v>
      </c>
      <c r="AG25" s="26">
        <f t="shared" si="19"/>
        <v>16.666666666666664</v>
      </c>
    </row>
    <row r="26" spans="2:33" x14ac:dyDescent="0.25">
      <c r="C26" t="s">
        <v>139</v>
      </c>
      <c r="E26" t="s">
        <v>140</v>
      </c>
      <c r="F26" s="26">
        <f t="shared" si="10"/>
        <v>16.666666666666664</v>
      </c>
      <c r="H26" t="s">
        <v>0</v>
      </c>
      <c r="I26" s="26">
        <f t="shared" si="11"/>
        <v>16.666666666666664</v>
      </c>
      <c r="K26" t="s">
        <v>66</v>
      </c>
      <c r="L26" s="26">
        <f t="shared" si="12"/>
        <v>16.666666666666664</v>
      </c>
      <c r="N26" t="s">
        <v>140</v>
      </c>
      <c r="O26" s="26">
        <f t="shared" si="13"/>
        <v>16.666666666666664</v>
      </c>
      <c r="Q26" t="s">
        <v>0</v>
      </c>
      <c r="R26" s="26">
        <f t="shared" si="14"/>
        <v>16.666666666666664</v>
      </c>
      <c r="T26" t="s">
        <v>66</v>
      </c>
      <c r="U26" s="26">
        <f t="shared" si="15"/>
        <v>16.666666666666664</v>
      </c>
      <c r="W26" t="s">
        <v>140</v>
      </c>
      <c r="X26" s="26">
        <f t="shared" si="16"/>
        <v>16.666666666666664</v>
      </c>
      <c r="Z26" t="s">
        <v>0</v>
      </c>
      <c r="AA26" s="26">
        <f t="shared" si="17"/>
        <v>16.666666666666664</v>
      </c>
      <c r="AC26" t="s">
        <v>66</v>
      </c>
      <c r="AD26" s="26">
        <f t="shared" si="18"/>
        <v>16.666666666666664</v>
      </c>
      <c r="AF26" t="s">
        <v>140</v>
      </c>
      <c r="AG26" s="26">
        <f t="shared" si="19"/>
        <v>16.666666666666664</v>
      </c>
    </row>
    <row r="29" spans="2:33" x14ac:dyDescent="0.25">
      <c r="B29" s="7" t="s">
        <v>143</v>
      </c>
    </row>
    <row r="31" spans="2:33" x14ac:dyDescent="0.25">
      <c r="E31" s="47" t="s">
        <v>54</v>
      </c>
      <c r="F31" s="47"/>
      <c r="G31" s="6"/>
      <c r="H31" s="47" t="s">
        <v>55</v>
      </c>
      <c r="I31" s="47"/>
      <c r="K31" s="47" t="s">
        <v>56</v>
      </c>
      <c r="L31" s="47"/>
      <c r="N31" s="47" t="s">
        <v>57</v>
      </c>
      <c r="O31" s="47"/>
      <c r="Q31" s="47" t="s">
        <v>58</v>
      </c>
      <c r="R31" s="47"/>
      <c r="S31" s="6"/>
      <c r="T31" s="47" t="s">
        <v>59</v>
      </c>
      <c r="U31" s="47"/>
      <c r="W31" s="47" t="s">
        <v>60</v>
      </c>
      <c r="X31" s="47"/>
      <c r="Z31" s="47" t="s">
        <v>61</v>
      </c>
      <c r="AA31" s="47"/>
      <c r="AC31" s="47" t="s">
        <v>62</v>
      </c>
      <c r="AD31" s="47"/>
      <c r="AF31" s="47" t="s">
        <v>63</v>
      </c>
      <c r="AG31" s="47"/>
    </row>
    <row r="32" spans="2:33" x14ac:dyDescent="0.25">
      <c r="E32" t="s">
        <v>65</v>
      </c>
      <c r="F32" s="4" t="s">
        <v>71</v>
      </c>
      <c r="G32" s="4"/>
      <c r="H32" t="s">
        <v>65</v>
      </c>
      <c r="I32" s="8" t="s">
        <v>71</v>
      </c>
      <c r="K32" t="s">
        <v>65</v>
      </c>
      <c r="L32" s="8" t="s">
        <v>71</v>
      </c>
      <c r="N32" t="s">
        <v>65</v>
      </c>
      <c r="O32" s="8" t="s">
        <v>71</v>
      </c>
      <c r="Q32" t="s">
        <v>65</v>
      </c>
      <c r="R32" s="8" t="s">
        <v>71</v>
      </c>
      <c r="S32" s="8"/>
      <c r="T32" s="5" t="s">
        <v>65</v>
      </c>
      <c r="U32" s="8" t="s">
        <v>71</v>
      </c>
      <c r="W32" s="5" t="s">
        <v>65</v>
      </c>
      <c r="X32" s="8" t="s">
        <v>71</v>
      </c>
      <c r="Z32" t="s">
        <v>65</v>
      </c>
      <c r="AA32" s="8" t="s">
        <v>71</v>
      </c>
      <c r="AC32" t="s">
        <v>65</v>
      </c>
      <c r="AD32" s="8" t="s">
        <v>71</v>
      </c>
      <c r="AF32" t="s">
        <v>65</v>
      </c>
      <c r="AG32" s="8" t="s">
        <v>71</v>
      </c>
    </row>
    <row r="34" spans="3:33" x14ac:dyDescent="0.25">
      <c r="C34" t="s">
        <v>67</v>
      </c>
      <c r="E34" t="s">
        <v>0</v>
      </c>
      <c r="F34" s="26">
        <f>(1/6)*100</f>
        <v>16.666666666666664</v>
      </c>
      <c r="G34" s="2"/>
      <c r="H34" t="s">
        <v>144</v>
      </c>
      <c r="I34" s="26">
        <f>(1/6)*100</f>
        <v>16.666666666666664</v>
      </c>
      <c r="K34" t="s">
        <v>145</v>
      </c>
      <c r="L34" s="26">
        <f>(1/6)*100</f>
        <v>16.666666666666664</v>
      </c>
      <c r="N34" t="s">
        <v>72</v>
      </c>
      <c r="O34" s="26">
        <f>(1/6)*100</f>
        <v>16.666666666666664</v>
      </c>
      <c r="Q34" t="s">
        <v>73</v>
      </c>
      <c r="R34" s="26">
        <f>(1/6)*100</f>
        <v>16.666666666666664</v>
      </c>
      <c r="T34" t="s">
        <v>146</v>
      </c>
      <c r="U34" s="26">
        <f>(1/6)*100</f>
        <v>16.666666666666664</v>
      </c>
      <c r="W34" t="s">
        <v>72</v>
      </c>
      <c r="X34" s="26">
        <f>(1/6)*100</f>
        <v>16.666666666666664</v>
      </c>
      <c r="Z34" t="s">
        <v>73</v>
      </c>
      <c r="AA34" s="26">
        <f>(1/6)*100</f>
        <v>16.666666666666664</v>
      </c>
      <c r="AC34" t="s">
        <v>146</v>
      </c>
      <c r="AD34" s="26">
        <f>(1/6)*100</f>
        <v>16.666666666666664</v>
      </c>
      <c r="AF34" t="s">
        <v>72</v>
      </c>
      <c r="AG34" s="26">
        <f>(1/6)*100</f>
        <v>16.666666666666664</v>
      </c>
    </row>
    <row r="35" spans="3:33" x14ac:dyDescent="0.25">
      <c r="C35" t="s">
        <v>68</v>
      </c>
      <c r="E35" t="s">
        <v>144</v>
      </c>
      <c r="F35" s="26">
        <f t="shared" ref="F35:F39" si="20">(1/6)*100</f>
        <v>16.666666666666664</v>
      </c>
      <c r="G35" s="2"/>
      <c r="H35" t="s">
        <v>145</v>
      </c>
      <c r="I35" s="26">
        <f t="shared" ref="I35:I39" si="21">(1/6)*100</f>
        <v>16.666666666666664</v>
      </c>
      <c r="K35" t="s">
        <v>72</v>
      </c>
      <c r="L35" s="26">
        <f t="shared" ref="L35:L39" si="22">(1/6)*100</f>
        <v>16.666666666666664</v>
      </c>
      <c r="N35" t="s">
        <v>73</v>
      </c>
      <c r="O35" s="26">
        <f t="shared" ref="O35:O39" si="23">(1/6)*100</f>
        <v>16.666666666666664</v>
      </c>
      <c r="Q35" t="s">
        <v>146</v>
      </c>
      <c r="R35" s="26">
        <f t="shared" ref="R35:R39" si="24">(1/6)*100</f>
        <v>16.666666666666664</v>
      </c>
      <c r="T35" t="s">
        <v>72</v>
      </c>
      <c r="U35" s="26">
        <f t="shared" ref="U35:U39" si="25">(1/6)*100</f>
        <v>16.666666666666664</v>
      </c>
      <c r="W35" t="s">
        <v>73</v>
      </c>
      <c r="X35" s="26">
        <f t="shared" ref="X35:X39" si="26">(1/6)*100</f>
        <v>16.666666666666664</v>
      </c>
      <c r="Z35" t="s">
        <v>146</v>
      </c>
      <c r="AA35" s="26">
        <f t="shared" ref="AA35:AA39" si="27">(1/6)*100</f>
        <v>16.666666666666664</v>
      </c>
      <c r="AC35" t="s">
        <v>72</v>
      </c>
      <c r="AD35" s="26">
        <f t="shared" ref="AD35:AD39" si="28">(1/6)*100</f>
        <v>16.666666666666664</v>
      </c>
      <c r="AF35" t="s">
        <v>73</v>
      </c>
      <c r="AG35" s="26">
        <f t="shared" ref="AG35:AG39" si="29">(1/6)*100</f>
        <v>16.666666666666664</v>
      </c>
    </row>
    <row r="36" spans="3:33" x14ac:dyDescent="0.25">
      <c r="C36" t="s">
        <v>69</v>
      </c>
      <c r="E36" t="s">
        <v>140</v>
      </c>
      <c r="F36" s="26">
        <f t="shared" si="20"/>
        <v>16.666666666666664</v>
      </c>
      <c r="G36" s="2"/>
      <c r="H36" t="s">
        <v>0</v>
      </c>
      <c r="I36" s="26">
        <f t="shared" si="21"/>
        <v>16.666666666666664</v>
      </c>
      <c r="K36" t="s">
        <v>144</v>
      </c>
      <c r="L36" s="26">
        <f t="shared" si="22"/>
        <v>16.666666666666664</v>
      </c>
      <c r="N36" t="s">
        <v>145</v>
      </c>
      <c r="O36" s="26">
        <f t="shared" si="23"/>
        <v>16.666666666666664</v>
      </c>
      <c r="Q36" t="s">
        <v>72</v>
      </c>
      <c r="R36" s="26">
        <f t="shared" si="24"/>
        <v>16.666666666666664</v>
      </c>
      <c r="T36" t="s">
        <v>73</v>
      </c>
      <c r="U36" s="26">
        <f t="shared" si="25"/>
        <v>16.666666666666664</v>
      </c>
      <c r="W36" t="s">
        <v>146</v>
      </c>
      <c r="X36" s="26">
        <f t="shared" si="26"/>
        <v>16.666666666666664</v>
      </c>
      <c r="Z36" t="s">
        <v>72</v>
      </c>
      <c r="AA36" s="26">
        <f t="shared" si="27"/>
        <v>16.666666666666664</v>
      </c>
      <c r="AC36" t="s">
        <v>73</v>
      </c>
      <c r="AD36" s="26">
        <f t="shared" si="28"/>
        <v>16.666666666666664</v>
      </c>
      <c r="AF36" t="s">
        <v>146</v>
      </c>
      <c r="AG36" s="26">
        <f t="shared" si="29"/>
        <v>16.666666666666664</v>
      </c>
    </row>
    <row r="37" spans="3:33" x14ac:dyDescent="0.25">
      <c r="C37" t="s">
        <v>70</v>
      </c>
      <c r="E37" t="s">
        <v>0</v>
      </c>
      <c r="F37" s="26">
        <f t="shared" si="20"/>
        <v>16.666666666666664</v>
      </c>
      <c r="G37" s="2"/>
      <c r="H37" t="s">
        <v>144</v>
      </c>
      <c r="I37" s="26">
        <f t="shared" si="21"/>
        <v>16.666666666666664</v>
      </c>
      <c r="K37" t="s">
        <v>145</v>
      </c>
      <c r="L37" s="26">
        <f t="shared" si="22"/>
        <v>16.666666666666664</v>
      </c>
      <c r="N37" t="s">
        <v>72</v>
      </c>
      <c r="O37" s="26">
        <f t="shared" si="23"/>
        <v>16.666666666666664</v>
      </c>
      <c r="Q37" t="s">
        <v>73</v>
      </c>
      <c r="R37" s="26">
        <f t="shared" si="24"/>
        <v>16.666666666666664</v>
      </c>
      <c r="T37" t="s">
        <v>146</v>
      </c>
      <c r="U37" s="26">
        <f t="shared" si="25"/>
        <v>16.666666666666664</v>
      </c>
      <c r="W37" t="s">
        <v>72</v>
      </c>
      <c r="X37" s="26">
        <f t="shared" si="26"/>
        <v>16.666666666666664</v>
      </c>
      <c r="Z37" t="s">
        <v>73</v>
      </c>
      <c r="AA37" s="26">
        <f t="shared" si="27"/>
        <v>16.666666666666664</v>
      </c>
      <c r="AC37" t="s">
        <v>146</v>
      </c>
      <c r="AD37" s="26">
        <f t="shared" si="28"/>
        <v>16.666666666666664</v>
      </c>
      <c r="AF37" t="s">
        <v>72</v>
      </c>
      <c r="AG37" s="26">
        <f t="shared" si="29"/>
        <v>16.666666666666664</v>
      </c>
    </row>
    <row r="38" spans="3:33" x14ac:dyDescent="0.25">
      <c r="C38" t="s">
        <v>138</v>
      </c>
      <c r="E38" t="s">
        <v>144</v>
      </c>
      <c r="F38" s="26">
        <f t="shared" si="20"/>
        <v>16.666666666666664</v>
      </c>
      <c r="H38" t="s">
        <v>145</v>
      </c>
      <c r="I38" s="26">
        <f t="shared" si="21"/>
        <v>16.666666666666664</v>
      </c>
      <c r="K38" t="s">
        <v>72</v>
      </c>
      <c r="L38" s="26">
        <f t="shared" si="22"/>
        <v>16.666666666666664</v>
      </c>
      <c r="N38" t="s">
        <v>73</v>
      </c>
      <c r="O38" s="26">
        <f t="shared" si="23"/>
        <v>16.666666666666664</v>
      </c>
      <c r="Q38" t="s">
        <v>146</v>
      </c>
      <c r="R38" s="26">
        <f t="shared" si="24"/>
        <v>16.666666666666664</v>
      </c>
      <c r="T38" t="s">
        <v>72</v>
      </c>
      <c r="U38" s="26">
        <f t="shared" si="25"/>
        <v>16.666666666666664</v>
      </c>
      <c r="W38" t="s">
        <v>73</v>
      </c>
      <c r="X38" s="26">
        <f t="shared" si="26"/>
        <v>16.666666666666664</v>
      </c>
      <c r="Z38" t="s">
        <v>146</v>
      </c>
      <c r="AA38" s="26">
        <f t="shared" si="27"/>
        <v>16.666666666666664</v>
      </c>
      <c r="AC38" t="s">
        <v>72</v>
      </c>
      <c r="AD38" s="26">
        <f t="shared" si="28"/>
        <v>16.666666666666664</v>
      </c>
      <c r="AF38" t="s">
        <v>73</v>
      </c>
      <c r="AG38" s="26">
        <f t="shared" si="29"/>
        <v>16.666666666666664</v>
      </c>
    </row>
    <row r="39" spans="3:33" x14ac:dyDescent="0.25">
      <c r="C39" t="s">
        <v>139</v>
      </c>
      <c r="E39" t="s">
        <v>140</v>
      </c>
      <c r="F39" s="26">
        <f t="shared" si="20"/>
        <v>16.666666666666664</v>
      </c>
      <c r="H39" t="s">
        <v>0</v>
      </c>
      <c r="I39" s="26">
        <f t="shared" si="21"/>
        <v>16.666666666666664</v>
      </c>
      <c r="K39" t="s">
        <v>144</v>
      </c>
      <c r="L39" s="26">
        <f t="shared" si="22"/>
        <v>16.666666666666664</v>
      </c>
      <c r="N39" t="s">
        <v>145</v>
      </c>
      <c r="O39" s="26">
        <f t="shared" si="23"/>
        <v>16.666666666666664</v>
      </c>
      <c r="Q39" t="s">
        <v>72</v>
      </c>
      <c r="R39" s="26">
        <f t="shared" si="24"/>
        <v>16.666666666666664</v>
      </c>
      <c r="T39" t="s">
        <v>73</v>
      </c>
      <c r="U39" s="26">
        <f t="shared" si="25"/>
        <v>16.666666666666664</v>
      </c>
      <c r="W39" t="s">
        <v>146</v>
      </c>
      <c r="X39" s="26">
        <f t="shared" si="26"/>
        <v>16.666666666666664</v>
      </c>
      <c r="Z39" t="s">
        <v>72</v>
      </c>
      <c r="AA39" s="26">
        <f t="shared" si="27"/>
        <v>16.666666666666664</v>
      </c>
      <c r="AC39" t="s">
        <v>73</v>
      </c>
      <c r="AD39" s="26">
        <f t="shared" si="28"/>
        <v>16.666666666666664</v>
      </c>
      <c r="AF39" t="s">
        <v>146</v>
      </c>
      <c r="AG39" s="26">
        <f t="shared" si="29"/>
        <v>16.666666666666664</v>
      </c>
    </row>
  </sheetData>
  <sheetProtection sheet="1" objects="1" scenarios="1"/>
  <mergeCells count="30">
    <mergeCell ref="T31:U31"/>
    <mergeCell ref="W31:X31"/>
    <mergeCell ref="Z31:AA31"/>
    <mergeCell ref="AC31:AD31"/>
    <mergeCell ref="AF31:AG31"/>
    <mergeCell ref="E31:F31"/>
    <mergeCell ref="H31:I31"/>
    <mergeCell ref="K31:L31"/>
    <mergeCell ref="N31:O31"/>
    <mergeCell ref="Q31:R31"/>
    <mergeCell ref="Z5:AA5"/>
    <mergeCell ref="AC5:AD5"/>
    <mergeCell ref="AF5:AG5"/>
    <mergeCell ref="T18:U18"/>
    <mergeCell ref="W18:X18"/>
    <mergeCell ref="Z18:AA18"/>
    <mergeCell ref="AC18:AD18"/>
    <mergeCell ref="AF18:AG18"/>
    <mergeCell ref="W5:X5"/>
    <mergeCell ref="E5:F5"/>
    <mergeCell ref="H5:I5"/>
    <mergeCell ref="E18:F18"/>
    <mergeCell ref="K5:L5"/>
    <mergeCell ref="N5:O5"/>
    <mergeCell ref="H18:I18"/>
    <mergeCell ref="Q5:R5"/>
    <mergeCell ref="K18:L18"/>
    <mergeCell ref="N18:O18"/>
    <mergeCell ref="Q18:R18"/>
    <mergeCell ref="T5:U5"/>
  </mergeCells>
  <printOptions headings="1" gridLines="1"/>
  <pageMargins left="0.7" right="0.7" top="0.75" bottom="0.75" header="0.3" footer="0.3"/>
  <pageSetup scale="27" orientation="landscape" r:id="rId1"/>
  <ignoredErrors>
    <ignoredError sqref="F8:F13 F26 F21:F25 F34:F39 I34:I39 L34:L39 O34:O39 R34:R39 I21:I26 L21 L22:L26 O21 O22:O26 R21:R26 U21:U26 X21:X26 AA21:AA26 AD21:AD26 AG21:AG26 U34:U39 X34:X39 AA34:AA39 AD34:AD39 AG34:AG39 I8:I13 L8:L13 O8:O13 R8:R13 U8:U13 X8:X13 AA8:AA13 AD8:AD13 AG8:AG1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17"/>
  <sheetViews>
    <sheetView zoomScale="150" zoomScaleNormal="150" workbookViewId="0"/>
  </sheetViews>
  <sheetFormatPr defaultRowHeight="15" x14ac:dyDescent="0.25"/>
  <sheetData>
    <row r="1" spans="1:10" x14ac:dyDescent="0.25">
      <c r="A1" s="1" t="s">
        <v>53</v>
      </c>
    </row>
    <row r="3" spans="1:10" x14ac:dyDescent="0.25">
      <c r="A3" s="7" t="s">
        <v>1</v>
      </c>
    </row>
    <row r="5" spans="1:10" x14ac:dyDescent="0.25">
      <c r="B5" t="s">
        <v>3</v>
      </c>
      <c r="I5" s="17">
        <v>198</v>
      </c>
      <c r="J5" s="3"/>
    </row>
    <row r="6" spans="1:10" x14ac:dyDescent="0.25">
      <c r="B6" t="s">
        <v>2</v>
      </c>
      <c r="I6" s="18">
        <v>4.5999999999999996</v>
      </c>
      <c r="J6" s="2"/>
    </row>
    <row r="7" spans="1:10" x14ac:dyDescent="0.25">
      <c r="B7" t="s">
        <v>9</v>
      </c>
      <c r="J7" s="3">
        <f>I5*I6</f>
        <v>910.8</v>
      </c>
    </row>
    <row r="8" spans="1:10" x14ac:dyDescent="0.25">
      <c r="B8" t="s">
        <v>4</v>
      </c>
      <c r="J8" s="18">
        <v>0</v>
      </c>
    </row>
    <row r="9" spans="1:10" x14ac:dyDescent="0.25">
      <c r="B9" t="s">
        <v>5</v>
      </c>
      <c r="J9" s="18">
        <v>25</v>
      </c>
    </row>
    <row r="10" spans="1:10" x14ac:dyDescent="0.25">
      <c r="B10" t="s">
        <v>10</v>
      </c>
      <c r="J10" s="18">
        <v>0</v>
      </c>
    </row>
    <row r="12" spans="1:10" x14ac:dyDescent="0.25">
      <c r="B12" t="s">
        <v>6</v>
      </c>
      <c r="J12" s="3">
        <f>SUM(J7:J10)</f>
        <v>935.8</v>
      </c>
    </row>
    <row r="14" spans="1:10" x14ac:dyDescent="0.25">
      <c r="A14" s="7" t="s">
        <v>34</v>
      </c>
    </row>
    <row r="15" spans="1:10" x14ac:dyDescent="0.25">
      <c r="H15" s="4" t="s">
        <v>11</v>
      </c>
      <c r="I15" s="4" t="s">
        <v>12</v>
      </c>
      <c r="J15" s="4" t="s">
        <v>6</v>
      </c>
    </row>
    <row r="16" spans="1:10" x14ac:dyDescent="0.25">
      <c r="H16" s="4"/>
      <c r="I16" s="4"/>
      <c r="J16" s="4"/>
    </row>
    <row r="17" spans="2:10" x14ac:dyDescent="0.25">
      <c r="B17" t="s">
        <v>7</v>
      </c>
    </row>
    <row r="18" spans="2:10" x14ac:dyDescent="0.25">
      <c r="C18" t="s">
        <v>13</v>
      </c>
      <c r="G18" s="18">
        <v>3.75</v>
      </c>
    </row>
    <row r="19" spans="2:10" x14ac:dyDescent="0.25">
      <c r="C19" t="s">
        <v>14</v>
      </c>
      <c r="G19" s="19">
        <v>33000</v>
      </c>
    </row>
    <row r="20" spans="2:10" x14ac:dyDescent="0.25">
      <c r="C20" t="s">
        <v>8</v>
      </c>
      <c r="H20" s="3">
        <f>G18*(G19/1000)</f>
        <v>123.75</v>
      </c>
      <c r="I20" s="3">
        <v>0</v>
      </c>
      <c r="J20" s="3">
        <f>SUM(H20, I20)</f>
        <v>123.75</v>
      </c>
    </row>
    <row r="22" spans="2:10" x14ac:dyDescent="0.25">
      <c r="B22" t="s">
        <v>15</v>
      </c>
    </row>
    <row r="23" spans="2:10" x14ac:dyDescent="0.25">
      <c r="C23" t="s">
        <v>16</v>
      </c>
      <c r="G23" s="17">
        <v>200</v>
      </c>
    </row>
    <row r="24" spans="2:10" x14ac:dyDescent="0.25">
      <c r="C24" t="s">
        <v>132</v>
      </c>
      <c r="G24" s="22">
        <v>0.55300000000000005</v>
      </c>
    </row>
    <row r="25" spans="2:10" x14ac:dyDescent="0.25">
      <c r="C25" t="s">
        <v>18</v>
      </c>
      <c r="H25" s="3">
        <f>G23*G24</f>
        <v>110.60000000000001</v>
      </c>
      <c r="I25" s="3">
        <v>0</v>
      </c>
      <c r="J25" s="3">
        <f>SUM(H25, I25)</f>
        <v>110.60000000000001</v>
      </c>
    </row>
    <row r="27" spans="2:10" x14ac:dyDescent="0.25">
      <c r="B27" t="s">
        <v>19</v>
      </c>
    </row>
    <row r="28" spans="2:10" x14ac:dyDescent="0.25">
      <c r="C28" t="s">
        <v>16</v>
      </c>
      <c r="G28" s="17">
        <v>73.3</v>
      </c>
    </row>
    <row r="29" spans="2:10" x14ac:dyDescent="0.25">
      <c r="C29" t="s">
        <v>132</v>
      </c>
      <c r="G29" s="22">
        <v>0.85399999999999998</v>
      </c>
    </row>
    <row r="30" spans="2:10" x14ac:dyDescent="0.25">
      <c r="C30" t="s">
        <v>20</v>
      </c>
      <c r="H30" s="3">
        <f>G28*G29</f>
        <v>62.598199999999999</v>
      </c>
      <c r="I30" s="3">
        <v>0</v>
      </c>
      <c r="J30" s="3">
        <f>SUM(H30, I30)</f>
        <v>62.598199999999999</v>
      </c>
    </row>
    <row r="32" spans="2:10" x14ac:dyDescent="0.25">
      <c r="B32" t="s">
        <v>21</v>
      </c>
    </row>
    <row r="33" spans="1:10" x14ac:dyDescent="0.25">
      <c r="C33" t="s">
        <v>16</v>
      </c>
      <c r="G33" s="17">
        <v>73.5</v>
      </c>
    </row>
    <row r="34" spans="1:10" x14ac:dyDescent="0.25">
      <c r="C34" t="s">
        <v>132</v>
      </c>
      <c r="G34" s="22">
        <v>0.41</v>
      </c>
    </row>
    <row r="35" spans="1:10" x14ac:dyDescent="0.25">
      <c r="C35" t="s">
        <v>22</v>
      </c>
      <c r="H35" s="3">
        <f>G33*G34</f>
        <v>30.134999999999998</v>
      </c>
      <c r="I35" s="3">
        <v>0</v>
      </c>
      <c r="J35" s="3">
        <f>SUM(H35, I35)</f>
        <v>30.134999999999998</v>
      </c>
    </row>
    <row r="36" spans="1:10" x14ac:dyDescent="0.25">
      <c r="H36" s="3"/>
      <c r="I36" s="3"/>
      <c r="J36" s="3"/>
    </row>
    <row r="37" spans="1:10" x14ac:dyDescent="0.25">
      <c r="B37" t="s">
        <v>109</v>
      </c>
      <c r="H37" s="3"/>
      <c r="I37" s="3"/>
      <c r="J37" s="3"/>
    </row>
    <row r="38" spans="1:10" x14ac:dyDescent="0.25">
      <c r="C38" t="s">
        <v>16</v>
      </c>
      <c r="G38" s="17">
        <v>33.299999999999997</v>
      </c>
      <c r="H38" s="3"/>
      <c r="I38" s="3"/>
      <c r="J38" s="3"/>
    </row>
    <row r="39" spans="1:10" x14ac:dyDescent="0.25">
      <c r="C39" t="s">
        <v>132</v>
      </c>
      <c r="G39" s="22">
        <v>0.27300000000000002</v>
      </c>
      <c r="H39" s="3"/>
      <c r="I39" s="3"/>
      <c r="J39" s="3"/>
    </row>
    <row r="40" spans="1:10" x14ac:dyDescent="0.25">
      <c r="A40" s="16"/>
      <c r="C40" t="s">
        <v>110</v>
      </c>
      <c r="H40" s="3">
        <f>G38*G39</f>
        <v>9.0908999999999995</v>
      </c>
      <c r="I40" s="3">
        <v>0</v>
      </c>
      <c r="J40" s="3">
        <f>SUM(H40, I40)</f>
        <v>9.0908999999999995</v>
      </c>
    </row>
    <row r="41" spans="1:10" x14ac:dyDescent="0.25">
      <c r="A41" s="16"/>
      <c r="H41" s="3"/>
      <c r="I41" s="3"/>
      <c r="J41" s="3"/>
    </row>
    <row r="42" spans="1:10" x14ac:dyDescent="0.25">
      <c r="B42" t="s">
        <v>23</v>
      </c>
      <c r="H42" s="18">
        <v>18</v>
      </c>
      <c r="I42" s="3">
        <v>0</v>
      </c>
      <c r="J42" s="3">
        <f t="shared" ref="J42:J48" si="0">SUM(H42, I42)</f>
        <v>18</v>
      </c>
    </row>
    <row r="43" spans="1:10" x14ac:dyDescent="0.25">
      <c r="B43" t="s">
        <v>24</v>
      </c>
      <c r="H43" s="18">
        <v>110</v>
      </c>
      <c r="I43" s="3">
        <v>0</v>
      </c>
      <c r="J43" s="3">
        <f t="shared" si="0"/>
        <v>110</v>
      </c>
    </row>
    <row r="44" spans="1:10" x14ac:dyDescent="0.25">
      <c r="B44" t="s">
        <v>25</v>
      </c>
      <c r="H44" s="18">
        <v>0</v>
      </c>
      <c r="I44" s="3">
        <v>0</v>
      </c>
      <c r="J44" s="3">
        <f t="shared" si="0"/>
        <v>0</v>
      </c>
    </row>
    <row r="45" spans="1:10" x14ac:dyDescent="0.25">
      <c r="B45" t="s">
        <v>26</v>
      </c>
      <c r="H45" s="18">
        <v>25</v>
      </c>
      <c r="I45" s="3">
        <v>0</v>
      </c>
      <c r="J45" s="3">
        <f t="shared" si="0"/>
        <v>25</v>
      </c>
    </row>
    <row r="46" spans="1:10" x14ac:dyDescent="0.25">
      <c r="B46" t="s">
        <v>27</v>
      </c>
      <c r="H46" s="18">
        <v>10</v>
      </c>
      <c r="I46" s="3">
        <v>0</v>
      </c>
      <c r="J46" s="3">
        <f t="shared" si="0"/>
        <v>10</v>
      </c>
    </row>
    <row r="47" spans="1:10" x14ac:dyDescent="0.25">
      <c r="B47" t="s">
        <v>28</v>
      </c>
      <c r="H47" s="18">
        <v>15</v>
      </c>
      <c r="I47" s="3">
        <v>0</v>
      </c>
      <c r="J47" s="3">
        <f t="shared" si="0"/>
        <v>15</v>
      </c>
    </row>
    <row r="48" spans="1:10" x14ac:dyDescent="0.25">
      <c r="B48" t="s">
        <v>115</v>
      </c>
      <c r="G48" s="20">
        <v>7.0000000000000007E-2</v>
      </c>
      <c r="H48" s="3">
        <f>((SUM(H20,H25,H30,H35,H40,H42:H44, H47)*0.5))*$G$48</f>
        <v>16.771093500000003</v>
      </c>
      <c r="I48" s="3">
        <v>0</v>
      </c>
      <c r="J48" s="3">
        <f t="shared" si="0"/>
        <v>16.771093500000003</v>
      </c>
    </row>
    <row r="50" spans="1:10" x14ac:dyDescent="0.25">
      <c r="B50" t="s">
        <v>35</v>
      </c>
      <c r="H50" s="3">
        <f>SUM(H20, H25, H30, H35, H40, H42:H48)</f>
        <v>530.94519349999996</v>
      </c>
      <c r="I50" s="3">
        <f>SUM(I20, I25, I30, I35, I40, I42:I48)</f>
        <v>0</v>
      </c>
      <c r="J50" s="3">
        <f>SUM(H50, I50)</f>
        <v>530.94519349999996</v>
      </c>
    </row>
    <row r="52" spans="1:10" x14ac:dyDescent="0.25">
      <c r="A52" s="7" t="s">
        <v>116</v>
      </c>
    </row>
    <row r="53" spans="1:10" x14ac:dyDescent="0.25">
      <c r="H53" s="4" t="s">
        <v>11</v>
      </c>
      <c r="I53" s="4" t="s">
        <v>12</v>
      </c>
      <c r="J53" s="4" t="s">
        <v>6</v>
      </c>
    </row>
    <row r="54" spans="1:10" x14ac:dyDescent="0.25">
      <c r="H54" s="4"/>
      <c r="I54" s="4"/>
    </row>
    <row r="55" spans="1:10" x14ac:dyDescent="0.25">
      <c r="B55" t="s">
        <v>29</v>
      </c>
      <c r="H55" s="18">
        <v>2.71</v>
      </c>
      <c r="I55" s="18">
        <v>11.32</v>
      </c>
      <c r="J55" s="3">
        <f>SUM(H55, I55)</f>
        <v>14.030000000000001</v>
      </c>
    </row>
    <row r="56" spans="1:10" x14ac:dyDescent="0.25">
      <c r="B56" t="s">
        <v>30</v>
      </c>
      <c r="H56" s="18">
        <v>2.08</v>
      </c>
      <c r="I56" s="18">
        <v>4.75</v>
      </c>
      <c r="J56" s="3">
        <f t="shared" ref="J56:J69" si="1">SUM(H56, I56)</f>
        <v>6.83</v>
      </c>
    </row>
    <row r="57" spans="1:10" x14ac:dyDescent="0.25">
      <c r="B57" t="s">
        <v>91</v>
      </c>
      <c r="H57" s="18">
        <v>4.1500000000000004</v>
      </c>
      <c r="I57" s="18">
        <v>13.12</v>
      </c>
      <c r="J57" s="3">
        <f t="shared" si="1"/>
        <v>17.27</v>
      </c>
    </row>
    <row r="58" spans="1:10" x14ac:dyDescent="0.25">
      <c r="B58" t="s">
        <v>92</v>
      </c>
      <c r="H58" s="18">
        <v>9.81</v>
      </c>
      <c r="I58" s="18">
        <v>16.2</v>
      </c>
      <c r="J58" s="3">
        <f t="shared" si="1"/>
        <v>26.009999999999998</v>
      </c>
    </row>
    <row r="59" spans="1:10" x14ac:dyDescent="0.25">
      <c r="B59" t="s">
        <v>111</v>
      </c>
      <c r="H59" s="18">
        <v>1.59</v>
      </c>
      <c r="I59" s="18">
        <v>6.01</v>
      </c>
      <c r="J59" s="3">
        <f t="shared" si="1"/>
        <v>7.6</v>
      </c>
    </row>
    <row r="60" spans="1:10" x14ac:dyDescent="0.25">
      <c r="B60" t="s">
        <v>111</v>
      </c>
      <c r="H60" s="18">
        <v>1.59</v>
      </c>
      <c r="I60" s="18">
        <v>6.01</v>
      </c>
      <c r="J60" s="3">
        <f t="shared" si="1"/>
        <v>7.6</v>
      </c>
    </row>
    <row r="61" spans="1:10" x14ac:dyDescent="0.25">
      <c r="B61" t="s">
        <v>33</v>
      </c>
      <c r="H61" s="18">
        <v>0</v>
      </c>
      <c r="I61" s="18">
        <v>0</v>
      </c>
      <c r="J61" s="3">
        <f t="shared" si="1"/>
        <v>0</v>
      </c>
    </row>
    <row r="62" spans="1:10" x14ac:dyDescent="0.25">
      <c r="B62" t="s">
        <v>33</v>
      </c>
      <c r="H62" s="18">
        <v>0</v>
      </c>
      <c r="I62" s="18">
        <v>0</v>
      </c>
      <c r="J62" s="3">
        <f t="shared" si="1"/>
        <v>0</v>
      </c>
    </row>
    <row r="63" spans="1:10" x14ac:dyDescent="0.25">
      <c r="B63" t="s">
        <v>33</v>
      </c>
      <c r="H63" s="18">
        <v>0</v>
      </c>
      <c r="I63" s="18">
        <v>0</v>
      </c>
      <c r="J63" s="3">
        <f t="shared" si="1"/>
        <v>0</v>
      </c>
    </row>
    <row r="64" spans="1:10" x14ac:dyDescent="0.25">
      <c r="B64" t="s">
        <v>33</v>
      </c>
      <c r="H64" s="18">
        <v>0</v>
      </c>
      <c r="I64" s="18">
        <v>0</v>
      </c>
      <c r="J64" s="3">
        <f t="shared" si="1"/>
        <v>0</v>
      </c>
    </row>
    <row r="65" spans="1:10" x14ac:dyDescent="0.25">
      <c r="B65" t="s">
        <v>33</v>
      </c>
      <c r="H65" s="18">
        <v>0</v>
      </c>
      <c r="I65" s="18">
        <v>0</v>
      </c>
      <c r="J65" s="3">
        <f t="shared" si="1"/>
        <v>0</v>
      </c>
    </row>
    <row r="66" spans="1:10" x14ac:dyDescent="0.25">
      <c r="B66" t="s">
        <v>33</v>
      </c>
      <c r="H66" s="18">
        <v>0</v>
      </c>
      <c r="I66" s="18">
        <v>0</v>
      </c>
      <c r="J66" s="3">
        <f t="shared" si="1"/>
        <v>0</v>
      </c>
    </row>
    <row r="67" spans="1:10" x14ac:dyDescent="0.25">
      <c r="B67" t="s">
        <v>33</v>
      </c>
      <c r="H67" s="18">
        <v>0</v>
      </c>
      <c r="I67" s="18">
        <v>0</v>
      </c>
      <c r="J67" s="3">
        <f t="shared" si="1"/>
        <v>0</v>
      </c>
    </row>
    <row r="68" spans="1:10" x14ac:dyDescent="0.25">
      <c r="H68" s="3"/>
      <c r="I68" s="3"/>
      <c r="J68" s="3"/>
    </row>
    <row r="69" spans="1:10" x14ac:dyDescent="0.25">
      <c r="B69" t="s">
        <v>35</v>
      </c>
      <c r="H69" s="3">
        <f>SUM(H55:H67)</f>
        <v>21.93</v>
      </c>
      <c r="I69" s="3">
        <f>SUM(I55:I67)</f>
        <v>57.41</v>
      </c>
      <c r="J69" s="3">
        <f t="shared" si="1"/>
        <v>79.34</v>
      </c>
    </row>
    <row r="71" spans="1:10" x14ac:dyDescent="0.25">
      <c r="A71" s="7" t="s">
        <v>36</v>
      </c>
    </row>
    <row r="72" spans="1:10" x14ac:dyDescent="0.25">
      <c r="H72" s="4" t="s">
        <v>11</v>
      </c>
      <c r="I72" s="4" t="s">
        <v>12</v>
      </c>
      <c r="J72" s="4" t="s">
        <v>6</v>
      </c>
    </row>
    <row r="74" spans="1:10" x14ac:dyDescent="0.25">
      <c r="B74" t="s">
        <v>37</v>
      </c>
      <c r="H74" s="18">
        <v>9.31</v>
      </c>
      <c r="I74" s="18">
        <v>33.08</v>
      </c>
      <c r="J74" s="3">
        <f>H74+I74</f>
        <v>42.39</v>
      </c>
    </row>
    <row r="75" spans="1:10" x14ac:dyDescent="0.25">
      <c r="H75" s="25"/>
      <c r="I75" s="25"/>
      <c r="J75" s="3"/>
    </row>
    <row r="76" spans="1:10" x14ac:dyDescent="0.25">
      <c r="B76" t="s">
        <v>38</v>
      </c>
    </row>
    <row r="77" spans="1:10" x14ac:dyDescent="0.25">
      <c r="C77" t="s">
        <v>112</v>
      </c>
      <c r="G77" s="18">
        <v>0.15</v>
      </c>
      <c r="H77" s="3">
        <f>$G$77*$I$5</f>
        <v>29.7</v>
      </c>
      <c r="I77" s="3">
        <v>0</v>
      </c>
      <c r="J77" s="3">
        <f>H77+I77</f>
        <v>29.7</v>
      </c>
    </row>
    <row r="79" spans="1:10" x14ac:dyDescent="0.25">
      <c r="B79" t="s">
        <v>39</v>
      </c>
    </row>
    <row r="80" spans="1:10" x14ac:dyDescent="0.25">
      <c r="C80" t="s">
        <v>113</v>
      </c>
      <c r="G80" s="21">
        <v>0.05</v>
      </c>
    </row>
    <row r="81" spans="1:10" x14ac:dyDescent="0.25">
      <c r="C81" t="s">
        <v>114</v>
      </c>
      <c r="G81" s="17">
        <v>3</v>
      </c>
    </row>
    <row r="82" spans="1:10" x14ac:dyDescent="0.25">
      <c r="C82" t="s">
        <v>40</v>
      </c>
      <c r="H82" s="3">
        <f>$G$80*$G$81*$I$5</f>
        <v>29.700000000000003</v>
      </c>
      <c r="I82" s="3">
        <v>0</v>
      </c>
      <c r="J82" s="3">
        <f>SUM(H82, I82)</f>
        <v>29.700000000000003</v>
      </c>
    </row>
    <row r="84" spans="1:10" x14ac:dyDescent="0.25">
      <c r="B84" t="s">
        <v>35</v>
      </c>
      <c r="H84" s="3">
        <f>SUM(H74, H77, H82)</f>
        <v>68.710000000000008</v>
      </c>
      <c r="I84" s="3">
        <f t="shared" ref="I84:J84" si="2">SUM(I74, I77, I82)</f>
        <v>33.08</v>
      </c>
      <c r="J84" s="3">
        <f t="shared" si="2"/>
        <v>101.79</v>
      </c>
    </row>
    <row r="86" spans="1:10" x14ac:dyDescent="0.25">
      <c r="A86" s="7" t="s">
        <v>43</v>
      </c>
    </row>
    <row r="88" spans="1:10" x14ac:dyDescent="0.25">
      <c r="B88" t="s">
        <v>41</v>
      </c>
    </row>
    <row r="89" spans="1:10" x14ac:dyDescent="0.25">
      <c r="C89" t="s">
        <v>44</v>
      </c>
      <c r="G89" s="18">
        <v>1.65</v>
      </c>
    </row>
    <row r="90" spans="1:10" x14ac:dyDescent="0.25">
      <c r="C90" t="s">
        <v>45</v>
      </c>
      <c r="G90" s="18">
        <v>20</v>
      </c>
    </row>
    <row r="91" spans="1:10" x14ac:dyDescent="0.25">
      <c r="C91" t="s">
        <v>46</v>
      </c>
      <c r="H91" s="3">
        <v>0</v>
      </c>
      <c r="I91" s="3">
        <f>G89*G90</f>
        <v>33</v>
      </c>
      <c r="J91" s="3">
        <f>SUM(H91, I91)</f>
        <v>33</v>
      </c>
    </row>
    <row r="93" spans="1:10" x14ac:dyDescent="0.25">
      <c r="B93" t="s">
        <v>42</v>
      </c>
    </row>
    <row r="94" spans="1:10" x14ac:dyDescent="0.25">
      <c r="C94" t="s">
        <v>44</v>
      </c>
      <c r="G94" s="18">
        <v>1</v>
      </c>
    </row>
    <row r="95" spans="1:10" x14ac:dyDescent="0.25">
      <c r="C95" t="s">
        <v>45</v>
      </c>
      <c r="G95" s="18">
        <v>25</v>
      </c>
    </row>
    <row r="96" spans="1:10" x14ac:dyDescent="0.25">
      <c r="C96" t="s">
        <v>42</v>
      </c>
      <c r="H96" s="3">
        <v>0</v>
      </c>
      <c r="I96" s="3">
        <f>G94*G95</f>
        <v>25</v>
      </c>
      <c r="J96" s="3">
        <f>SUM(H96, I96)</f>
        <v>25</v>
      </c>
    </row>
    <row r="98" spans="1:10" x14ac:dyDescent="0.25">
      <c r="B98" t="s">
        <v>35</v>
      </c>
      <c r="H98" s="3">
        <f>SUM(H91, H96)</f>
        <v>0</v>
      </c>
      <c r="I98" s="3">
        <f>SUM(I91, I96)</f>
        <v>58</v>
      </c>
      <c r="J98" s="3">
        <f>SUM(H98, I98)</f>
        <v>58</v>
      </c>
    </row>
    <row r="100" spans="1:10" x14ac:dyDescent="0.25">
      <c r="A100" s="7" t="s">
        <v>47</v>
      </c>
    </row>
    <row r="102" spans="1:10" x14ac:dyDescent="0.25">
      <c r="B102" t="s">
        <v>48</v>
      </c>
      <c r="H102" s="3">
        <v>0</v>
      </c>
      <c r="I102" s="18">
        <v>255</v>
      </c>
      <c r="J102" s="3">
        <f>SUM(H102, I102)</f>
        <v>255</v>
      </c>
    </row>
    <row r="103" spans="1:10" x14ac:dyDescent="0.25">
      <c r="H103" s="3"/>
      <c r="I103" s="3"/>
    </row>
    <row r="104" spans="1:10" x14ac:dyDescent="0.25">
      <c r="A104" s="7" t="s">
        <v>117</v>
      </c>
    </row>
    <row r="106" spans="1:10" x14ac:dyDescent="0.25">
      <c r="B106" t="s">
        <v>51</v>
      </c>
      <c r="H106" s="3">
        <f>SUM(H50, H69, H84, H98, H102)</f>
        <v>621.58519349999995</v>
      </c>
      <c r="I106" s="3">
        <f>SUM(I50, I69, I84, I98, I102)</f>
        <v>403.49</v>
      </c>
      <c r="J106" s="3">
        <f>SUM(H106, I106)</f>
        <v>1025.0751934999998</v>
      </c>
    </row>
    <row r="107" spans="1:10" x14ac:dyDescent="0.25">
      <c r="B107" t="s">
        <v>52</v>
      </c>
      <c r="H107" s="3">
        <f>H106/$I$5</f>
        <v>3.1393191590909089</v>
      </c>
      <c r="I107" s="3">
        <f>I106/$I$5</f>
        <v>2.0378282828282828</v>
      </c>
      <c r="J107" s="3">
        <f>SUM(H107, I107)</f>
        <v>5.1771474419191916</v>
      </c>
    </row>
    <row r="109" spans="1:10" x14ac:dyDescent="0.25">
      <c r="A109" s="7" t="s">
        <v>118</v>
      </c>
    </row>
    <row r="111" spans="1:10" x14ac:dyDescent="0.25">
      <c r="B111" t="s">
        <v>51</v>
      </c>
      <c r="J111" s="3">
        <f>J12-H106</f>
        <v>314.21480650000001</v>
      </c>
    </row>
    <row r="112" spans="1:10" x14ac:dyDescent="0.25">
      <c r="B112" t="s">
        <v>52</v>
      </c>
      <c r="J112" s="3">
        <f>J111/$I$5</f>
        <v>1.5869434671717173</v>
      </c>
    </row>
    <row r="114" spans="1:10" x14ac:dyDescent="0.25">
      <c r="A114" s="7" t="s">
        <v>119</v>
      </c>
    </row>
    <row r="116" spans="1:10" x14ac:dyDescent="0.25">
      <c r="B116" t="s">
        <v>51</v>
      </c>
      <c r="J116" s="3">
        <f>J12-J106</f>
        <v>-89.275193499999887</v>
      </c>
    </row>
    <row r="117" spans="1:10" x14ac:dyDescent="0.25">
      <c r="B117" t="s">
        <v>52</v>
      </c>
      <c r="J117" s="3">
        <f>J116/$I$5</f>
        <v>-0.45088481565656507</v>
      </c>
    </row>
  </sheetData>
  <sheetProtection sheet="1" objects="1" scenarios="1"/>
  <printOptions headings="1" gridLines="1"/>
  <pageMargins left="0.7" right="0.7" top="0.75" bottom="0.75" header="0.3" footer="0.3"/>
  <pageSetup scale="4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17"/>
  <sheetViews>
    <sheetView zoomScale="150" zoomScaleNormal="150" workbookViewId="0"/>
  </sheetViews>
  <sheetFormatPr defaultRowHeight="15" x14ac:dyDescent="0.25"/>
  <sheetData>
    <row r="1" spans="1:10" x14ac:dyDescent="0.25">
      <c r="A1" s="1" t="s">
        <v>87</v>
      </c>
    </row>
    <row r="3" spans="1:10" x14ac:dyDescent="0.25">
      <c r="A3" s="7" t="s">
        <v>1</v>
      </c>
    </row>
    <row r="5" spans="1:10" x14ac:dyDescent="0.25">
      <c r="B5" t="s">
        <v>3</v>
      </c>
      <c r="I5" s="17">
        <v>60</v>
      </c>
      <c r="J5" s="3"/>
    </row>
    <row r="6" spans="1:10" x14ac:dyDescent="0.25">
      <c r="B6" t="s">
        <v>2</v>
      </c>
      <c r="I6" s="18">
        <v>11.55</v>
      </c>
      <c r="J6" s="2"/>
    </row>
    <row r="7" spans="1:10" x14ac:dyDescent="0.25">
      <c r="B7" t="s">
        <v>9</v>
      </c>
      <c r="J7" s="3">
        <f>I5*I6</f>
        <v>693</v>
      </c>
    </row>
    <row r="8" spans="1:10" x14ac:dyDescent="0.25">
      <c r="B8" t="s">
        <v>4</v>
      </c>
      <c r="J8" s="18">
        <v>0</v>
      </c>
    </row>
    <row r="9" spans="1:10" x14ac:dyDescent="0.25">
      <c r="B9" t="s">
        <v>5</v>
      </c>
      <c r="J9" s="18">
        <v>20</v>
      </c>
    </row>
    <row r="10" spans="1:10" x14ac:dyDescent="0.25">
      <c r="B10" t="s">
        <v>10</v>
      </c>
      <c r="J10" s="18">
        <v>0</v>
      </c>
    </row>
    <row r="12" spans="1:10" x14ac:dyDescent="0.25">
      <c r="B12" t="s">
        <v>6</v>
      </c>
      <c r="J12" s="3">
        <f>SUM(J7:J10)</f>
        <v>713</v>
      </c>
    </row>
    <row r="14" spans="1:10" x14ac:dyDescent="0.25">
      <c r="A14" s="7" t="s">
        <v>34</v>
      </c>
    </row>
    <row r="15" spans="1:10" x14ac:dyDescent="0.25">
      <c r="H15" s="12" t="s">
        <v>11</v>
      </c>
      <c r="I15" s="12" t="s">
        <v>12</v>
      </c>
      <c r="J15" s="12" t="s">
        <v>6</v>
      </c>
    </row>
    <row r="16" spans="1:10" x14ac:dyDescent="0.25">
      <c r="H16" s="4"/>
      <c r="I16" s="4"/>
      <c r="J16" s="4"/>
    </row>
    <row r="17" spans="2:10" x14ac:dyDescent="0.25">
      <c r="B17" t="s">
        <v>7</v>
      </c>
    </row>
    <row r="18" spans="2:10" x14ac:dyDescent="0.25">
      <c r="C18" t="s">
        <v>13</v>
      </c>
      <c r="G18" s="18">
        <v>0.44</v>
      </c>
    </row>
    <row r="19" spans="2:10" x14ac:dyDescent="0.25">
      <c r="C19" t="s">
        <v>14</v>
      </c>
      <c r="G19" s="19">
        <v>169000</v>
      </c>
    </row>
    <row r="20" spans="2:10" x14ac:dyDescent="0.25">
      <c r="C20" t="s">
        <v>8</v>
      </c>
      <c r="H20" s="3">
        <f>G18*(G19/1000)</f>
        <v>74.36</v>
      </c>
      <c r="I20" s="3">
        <v>0</v>
      </c>
      <c r="J20" s="3">
        <f>SUM(H20, I20)</f>
        <v>74.36</v>
      </c>
    </row>
    <row r="22" spans="2:10" x14ac:dyDescent="0.25">
      <c r="B22" t="s">
        <v>15</v>
      </c>
    </row>
    <row r="23" spans="2:10" x14ac:dyDescent="0.25">
      <c r="C23" t="s">
        <v>16</v>
      </c>
      <c r="G23" s="17">
        <v>0</v>
      </c>
    </row>
    <row r="24" spans="2:10" x14ac:dyDescent="0.25">
      <c r="C24" t="s">
        <v>132</v>
      </c>
      <c r="G24" s="22">
        <v>0</v>
      </c>
    </row>
    <row r="25" spans="2:10" x14ac:dyDescent="0.25">
      <c r="C25" t="s">
        <v>18</v>
      </c>
      <c r="H25" s="3">
        <f>G23*G24</f>
        <v>0</v>
      </c>
      <c r="I25" s="3">
        <v>0</v>
      </c>
      <c r="J25" s="3">
        <f>SUM(H25, I25)</f>
        <v>0</v>
      </c>
    </row>
    <row r="27" spans="2:10" x14ac:dyDescent="0.25">
      <c r="B27" t="s">
        <v>19</v>
      </c>
    </row>
    <row r="28" spans="2:10" x14ac:dyDescent="0.25">
      <c r="C28" t="s">
        <v>16</v>
      </c>
      <c r="G28" s="17">
        <v>48</v>
      </c>
    </row>
    <row r="29" spans="2:10" x14ac:dyDescent="0.25">
      <c r="C29" t="s">
        <v>132</v>
      </c>
      <c r="G29" s="22">
        <v>0.8</v>
      </c>
    </row>
    <row r="30" spans="2:10" x14ac:dyDescent="0.25">
      <c r="C30" t="s">
        <v>20</v>
      </c>
      <c r="H30" s="3">
        <f>G28*G29</f>
        <v>38.400000000000006</v>
      </c>
      <c r="I30" s="3">
        <v>0</v>
      </c>
      <c r="J30" s="3">
        <f>SUM(H30, I30)</f>
        <v>38.400000000000006</v>
      </c>
    </row>
    <row r="32" spans="2:10" x14ac:dyDescent="0.25">
      <c r="B32" t="s">
        <v>21</v>
      </c>
    </row>
    <row r="33" spans="1:10" x14ac:dyDescent="0.25">
      <c r="C33" t="s">
        <v>16</v>
      </c>
      <c r="G33" s="17">
        <v>104</v>
      </c>
    </row>
    <row r="34" spans="1:10" x14ac:dyDescent="0.25">
      <c r="C34" t="s">
        <v>132</v>
      </c>
      <c r="G34" s="22">
        <v>0.41</v>
      </c>
    </row>
    <row r="35" spans="1:10" x14ac:dyDescent="0.25">
      <c r="C35" t="s">
        <v>22</v>
      </c>
      <c r="H35" s="3">
        <f>G33*G34</f>
        <v>42.64</v>
      </c>
      <c r="I35" s="3">
        <v>0</v>
      </c>
      <c r="J35" s="3">
        <f>SUM(H35, I35)</f>
        <v>42.64</v>
      </c>
    </row>
    <row r="36" spans="1:10" x14ac:dyDescent="0.25">
      <c r="H36" s="3"/>
      <c r="I36" s="3"/>
      <c r="J36" s="3"/>
    </row>
    <row r="37" spans="1:10" x14ac:dyDescent="0.25">
      <c r="B37" t="s">
        <v>165</v>
      </c>
      <c r="H37" s="3"/>
      <c r="I37" s="3"/>
      <c r="J37" s="3"/>
    </row>
    <row r="38" spans="1:10" x14ac:dyDescent="0.25">
      <c r="C38" t="s">
        <v>16</v>
      </c>
      <c r="G38" s="17">
        <v>33.299999999999997</v>
      </c>
      <c r="H38" s="3"/>
      <c r="I38" s="3"/>
      <c r="J38" s="3"/>
    </row>
    <row r="39" spans="1:10" x14ac:dyDescent="0.25">
      <c r="C39" t="s">
        <v>132</v>
      </c>
      <c r="G39" s="22">
        <v>0.27300000000000002</v>
      </c>
      <c r="H39" s="3"/>
      <c r="I39" s="3"/>
      <c r="J39" s="3"/>
    </row>
    <row r="40" spans="1:10" x14ac:dyDescent="0.25">
      <c r="A40" s="16"/>
      <c r="C40" t="s">
        <v>110</v>
      </c>
      <c r="H40" s="3">
        <f>G38*G39</f>
        <v>9.0908999999999995</v>
      </c>
      <c r="I40" s="3">
        <v>0</v>
      </c>
      <c r="J40" s="3">
        <f>SUM(H40, I40)</f>
        <v>9.0908999999999995</v>
      </c>
    </row>
    <row r="41" spans="1:10" x14ac:dyDescent="0.25">
      <c r="A41" s="16"/>
      <c r="H41" s="3"/>
      <c r="I41" s="3"/>
      <c r="J41" s="3"/>
    </row>
    <row r="42" spans="1:10" x14ac:dyDescent="0.25">
      <c r="B42" t="s">
        <v>23</v>
      </c>
      <c r="H42" s="18">
        <v>0</v>
      </c>
      <c r="I42" s="3">
        <v>0</v>
      </c>
      <c r="J42" s="3">
        <f t="shared" ref="J42:J48" si="0">SUM(H42, I42)</f>
        <v>0</v>
      </c>
    </row>
    <row r="43" spans="1:10" x14ac:dyDescent="0.25">
      <c r="B43" t="s">
        <v>24</v>
      </c>
      <c r="H43" s="18">
        <v>70</v>
      </c>
      <c r="I43" s="3">
        <v>0</v>
      </c>
      <c r="J43" s="3">
        <f t="shared" si="0"/>
        <v>70</v>
      </c>
    </row>
    <row r="44" spans="1:10" x14ac:dyDescent="0.25">
      <c r="B44" t="s">
        <v>25</v>
      </c>
      <c r="H44" s="18">
        <v>0</v>
      </c>
      <c r="I44" s="3">
        <v>0</v>
      </c>
      <c r="J44" s="3">
        <f t="shared" si="0"/>
        <v>0</v>
      </c>
    </row>
    <row r="45" spans="1:10" x14ac:dyDescent="0.25">
      <c r="B45" t="s">
        <v>26</v>
      </c>
      <c r="H45" s="18">
        <v>20</v>
      </c>
      <c r="I45" s="3">
        <v>0</v>
      </c>
      <c r="J45" s="3">
        <f t="shared" si="0"/>
        <v>20</v>
      </c>
    </row>
    <row r="46" spans="1:10" x14ac:dyDescent="0.25">
      <c r="B46" t="s">
        <v>27</v>
      </c>
      <c r="H46" s="18">
        <v>10</v>
      </c>
      <c r="I46" s="3">
        <v>0</v>
      </c>
      <c r="J46" s="3">
        <f t="shared" si="0"/>
        <v>10</v>
      </c>
    </row>
    <row r="47" spans="1:10" x14ac:dyDescent="0.25">
      <c r="B47" t="s">
        <v>28</v>
      </c>
      <c r="H47" s="18">
        <v>10</v>
      </c>
      <c r="I47" s="3">
        <v>0</v>
      </c>
      <c r="J47" s="3">
        <f t="shared" si="0"/>
        <v>10</v>
      </c>
    </row>
    <row r="48" spans="1:10" x14ac:dyDescent="0.25">
      <c r="B48" t="s">
        <v>115</v>
      </c>
      <c r="G48" s="20">
        <v>7.0000000000000007E-2</v>
      </c>
      <c r="H48" s="3">
        <f>((SUM(H20,H25,H30,H35,H40,H42:H44, H47)*0.5))*$G$48</f>
        <v>8.5571815000000004</v>
      </c>
      <c r="I48" s="3">
        <v>0</v>
      </c>
      <c r="J48" s="3">
        <f t="shared" si="0"/>
        <v>8.5571815000000004</v>
      </c>
    </row>
    <row r="50" spans="1:10" x14ac:dyDescent="0.25">
      <c r="B50" t="s">
        <v>35</v>
      </c>
      <c r="H50" s="3">
        <f>SUM(H20, H25, H30, H35, H40, H42:H48)</f>
        <v>283.04808150000002</v>
      </c>
      <c r="I50" s="3">
        <f>SUM(I20, I25, I30, I35, I40, I42:I48)</f>
        <v>0</v>
      </c>
      <c r="J50" s="3">
        <f>SUM(H50, I50)</f>
        <v>283.04808150000002</v>
      </c>
    </row>
    <row r="52" spans="1:10" x14ac:dyDescent="0.25">
      <c r="A52" s="7" t="s">
        <v>116</v>
      </c>
    </row>
    <row r="53" spans="1:10" x14ac:dyDescent="0.25">
      <c r="H53" s="12" t="s">
        <v>11</v>
      </c>
      <c r="I53" s="12" t="s">
        <v>12</v>
      </c>
      <c r="J53" s="12" t="s">
        <v>6</v>
      </c>
    </row>
    <row r="54" spans="1:10" x14ac:dyDescent="0.25">
      <c r="H54" s="4"/>
      <c r="I54" s="4"/>
    </row>
    <row r="55" spans="1:10" x14ac:dyDescent="0.25">
      <c r="B55" t="s">
        <v>30</v>
      </c>
      <c r="H55" s="18">
        <v>2.08</v>
      </c>
      <c r="I55" s="18">
        <v>4.75</v>
      </c>
      <c r="J55" s="3">
        <f>SUM(H55, I55)</f>
        <v>6.83</v>
      </c>
    </row>
    <row r="56" spans="1:10" x14ac:dyDescent="0.25">
      <c r="B56" t="s">
        <v>170</v>
      </c>
      <c r="H56" s="18">
        <v>3.86</v>
      </c>
      <c r="I56" s="18">
        <v>14.16</v>
      </c>
      <c r="J56" s="3">
        <f t="shared" ref="J56:J69" si="1">SUM(H56, I56)</f>
        <v>18.02</v>
      </c>
    </row>
    <row r="57" spans="1:10" x14ac:dyDescent="0.25">
      <c r="B57" t="s">
        <v>91</v>
      </c>
      <c r="H57" s="18">
        <v>4.1500000000000004</v>
      </c>
      <c r="I57" s="18">
        <v>13.12</v>
      </c>
      <c r="J57" s="3">
        <f t="shared" si="1"/>
        <v>17.27</v>
      </c>
    </row>
    <row r="58" spans="1:10" x14ac:dyDescent="0.25">
      <c r="B58" t="s">
        <v>92</v>
      </c>
      <c r="H58" s="18">
        <v>9.81</v>
      </c>
      <c r="I58" s="18">
        <v>16.2</v>
      </c>
      <c r="J58" s="3">
        <f t="shared" si="1"/>
        <v>26.009999999999998</v>
      </c>
    </row>
    <row r="59" spans="1:10" x14ac:dyDescent="0.25">
      <c r="B59" t="s">
        <v>111</v>
      </c>
      <c r="H59" s="18">
        <v>1.59</v>
      </c>
      <c r="I59" s="18">
        <v>6.01</v>
      </c>
      <c r="J59" s="3">
        <f t="shared" si="1"/>
        <v>7.6</v>
      </c>
    </row>
    <row r="60" spans="1:10" x14ac:dyDescent="0.25">
      <c r="B60" t="s">
        <v>111</v>
      </c>
      <c r="H60" s="18">
        <v>1.59</v>
      </c>
      <c r="I60" s="18">
        <v>6.01</v>
      </c>
      <c r="J60" s="3">
        <f t="shared" si="1"/>
        <v>7.6</v>
      </c>
    </row>
    <row r="61" spans="1:10" x14ac:dyDescent="0.25">
      <c r="B61" t="s">
        <v>33</v>
      </c>
      <c r="H61" s="18">
        <v>0</v>
      </c>
      <c r="I61" s="18">
        <v>0</v>
      </c>
      <c r="J61" s="3">
        <f t="shared" si="1"/>
        <v>0</v>
      </c>
    </row>
    <row r="62" spans="1:10" x14ac:dyDescent="0.25">
      <c r="B62" t="s">
        <v>33</v>
      </c>
      <c r="H62" s="18">
        <v>0</v>
      </c>
      <c r="I62" s="18">
        <v>0</v>
      </c>
      <c r="J62" s="3">
        <f t="shared" si="1"/>
        <v>0</v>
      </c>
    </row>
    <row r="63" spans="1:10" x14ac:dyDescent="0.25">
      <c r="B63" t="s">
        <v>33</v>
      </c>
      <c r="H63" s="18">
        <v>0</v>
      </c>
      <c r="I63" s="18">
        <v>0</v>
      </c>
      <c r="J63" s="3">
        <f t="shared" si="1"/>
        <v>0</v>
      </c>
    </row>
    <row r="64" spans="1:10" x14ac:dyDescent="0.25">
      <c r="B64" t="s">
        <v>33</v>
      </c>
      <c r="H64" s="18">
        <v>0</v>
      </c>
      <c r="I64" s="18">
        <v>0</v>
      </c>
      <c r="J64" s="3">
        <f t="shared" si="1"/>
        <v>0</v>
      </c>
    </row>
    <row r="65" spans="1:10" x14ac:dyDescent="0.25">
      <c r="B65" t="s">
        <v>33</v>
      </c>
      <c r="H65" s="18">
        <v>0</v>
      </c>
      <c r="I65" s="18">
        <v>0</v>
      </c>
      <c r="J65" s="3">
        <f t="shared" si="1"/>
        <v>0</v>
      </c>
    </row>
    <row r="66" spans="1:10" x14ac:dyDescent="0.25">
      <c r="B66" t="s">
        <v>33</v>
      </c>
      <c r="H66" s="18">
        <v>0</v>
      </c>
      <c r="I66" s="18">
        <v>0</v>
      </c>
      <c r="J66" s="3">
        <f t="shared" si="1"/>
        <v>0</v>
      </c>
    </row>
    <row r="67" spans="1:10" x14ac:dyDescent="0.25">
      <c r="B67" t="s">
        <v>33</v>
      </c>
      <c r="H67" s="18">
        <v>0</v>
      </c>
      <c r="I67" s="18">
        <v>0</v>
      </c>
      <c r="J67" s="3">
        <f t="shared" si="1"/>
        <v>0</v>
      </c>
    </row>
    <row r="68" spans="1:10" x14ac:dyDescent="0.25">
      <c r="H68" s="3"/>
      <c r="I68" s="3"/>
      <c r="J68" s="3"/>
    </row>
    <row r="69" spans="1:10" x14ac:dyDescent="0.25">
      <c r="B69" t="s">
        <v>35</v>
      </c>
      <c r="H69" s="3">
        <f>SUM(H55:H67)</f>
        <v>23.08</v>
      </c>
      <c r="I69" s="3">
        <f>SUM(I55:I67)</f>
        <v>60.25</v>
      </c>
      <c r="J69" s="3">
        <f t="shared" si="1"/>
        <v>83.33</v>
      </c>
    </row>
    <row r="71" spans="1:10" x14ac:dyDescent="0.25">
      <c r="A71" s="7" t="s">
        <v>36</v>
      </c>
    </row>
    <row r="72" spans="1:10" x14ac:dyDescent="0.25">
      <c r="H72" s="12" t="s">
        <v>11</v>
      </c>
      <c r="I72" s="12" t="s">
        <v>12</v>
      </c>
      <c r="J72" s="12" t="s">
        <v>6</v>
      </c>
    </row>
    <row r="74" spans="1:10" x14ac:dyDescent="0.25">
      <c r="B74" t="s">
        <v>37</v>
      </c>
      <c r="H74" s="18">
        <v>12.08</v>
      </c>
      <c r="I74" s="18">
        <v>27.65</v>
      </c>
      <c r="J74" s="3">
        <f>H74+I74</f>
        <v>39.729999999999997</v>
      </c>
    </row>
    <row r="75" spans="1:10" x14ac:dyDescent="0.25">
      <c r="H75" s="25"/>
      <c r="I75" s="25"/>
      <c r="J75" s="3"/>
    </row>
    <row r="76" spans="1:10" x14ac:dyDescent="0.25">
      <c r="B76" t="s">
        <v>38</v>
      </c>
    </row>
    <row r="77" spans="1:10" x14ac:dyDescent="0.25">
      <c r="C77" t="s">
        <v>112</v>
      </c>
      <c r="G77" s="18">
        <v>0.15</v>
      </c>
      <c r="H77" s="3">
        <f>$G$77*$I$5</f>
        <v>9</v>
      </c>
      <c r="I77" s="3">
        <v>0</v>
      </c>
      <c r="J77" s="3">
        <f>H77+I77</f>
        <v>9</v>
      </c>
    </row>
    <row r="79" spans="1:10" x14ac:dyDescent="0.25">
      <c r="B79" t="s">
        <v>39</v>
      </c>
    </row>
    <row r="80" spans="1:10" x14ac:dyDescent="0.25">
      <c r="C80" t="s">
        <v>113</v>
      </c>
      <c r="G80" s="18">
        <v>0</v>
      </c>
    </row>
    <row r="81" spans="1:10" x14ac:dyDescent="0.25">
      <c r="C81" t="s">
        <v>114</v>
      </c>
      <c r="G81" s="17">
        <v>0</v>
      </c>
    </row>
    <row r="82" spans="1:10" x14ac:dyDescent="0.25">
      <c r="C82" t="s">
        <v>40</v>
      </c>
      <c r="H82" s="3">
        <f>$G$80*$G$81*$I$5</f>
        <v>0</v>
      </c>
      <c r="I82" s="3">
        <v>0</v>
      </c>
      <c r="J82" s="3">
        <f>SUM(H82, I82)</f>
        <v>0</v>
      </c>
    </row>
    <row r="84" spans="1:10" x14ac:dyDescent="0.25">
      <c r="B84" t="s">
        <v>35</v>
      </c>
      <c r="H84" s="3">
        <f>SUM(H74, H77, H82)</f>
        <v>21.08</v>
      </c>
      <c r="I84" s="3">
        <f t="shared" ref="I84:J84" si="2">SUM(I74, I77, I82)</f>
        <v>27.65</v>
      </c>
      <c r="J84" s="3">
        <f t="shared" si="2"/>
        <v>48.73</v>
      </c>
    </row>
    <row r="86" spans="1:10" x14ac:dyDescent="0.25">
      <c r="A86" s="7" t="s">
        <v>43</v>
      </c>
    </row>
    <row r="88" spans="1:10" x14ac:dyDescent="0.25">
      <c r="B88" t="s">
        <v>41</v>
      </c>
    </row>
    <row r="89" spans="1:10" x14ac:dyDescent="0.25">
      <c r="C89" t="s">
        <v>44</v>
      </c>
      <c r="G89" s="18">
        <v>0.6</v>
      </c>
    </row>
    <row r="90" spans="1:10" x14ac:dyDescent="0.25">
      <c r="C90" t="s">
        <v>45</v>
      </c>
      <c r="G90" s="18">
        <v>20</v>
      </c>
    </row>
    <row r="91" spans="1:10" x14ac:dyDescent="0.25">
      <c r="C91" t="s">
        <v>46</v>
      </c>
      <c r="H91" s="3">
        <v>0</v>
      </c>
      <c r="I91" s="3">
        <f>G89*G90</f>
        <v>12</v>
      </c>
      <c r="J91" s="3">
        <f>SUM(H91, I91)</f>
        <v>12</v>
      </c>
    </row>
    <row r="93" spans="1:10" x14ac:dyDescent="0.25">
      <c r="B93" t="s">
        <v>42</v>
      </c>
    </row>
    <row r="94" spans="1:10" x14ac:dyDescent="0.25">
      <c r="C94" t="s">
        <v>44</v>
      </c>
      <c r="G94" s="18">
        <v>1</v>
      </c>
    </row>
    <row r="95" spans="1:10" x14ac:dyDescent="0.25">
      <c r="C95" t="s">
        <v>45</v>
      </c>
      <c r="G95" s="18">
        <v>25</v>
      </c>
    </row>
    <row r="96" spans="1:10" x14ac:dyDescent="0.25">
      <c r="C96" t="s">
        <v>42</v>
      </c>
      <c r="H96" s="3">
        <v>0</v>
      </c>
      <c r="I96" s="3">
        <f>G94*G95</f>
        <v>25</v>
      </c>
      <c r="J96" s="3">
        <f>SUM(H96, I96)</f>
        <v>25</v>
      </c>
    </row>
    <row r="98" spans="1:10" x14ac:dyDescent="0.25">
      <c r="B98" t="s">
        <v>35</v>
      </c>
      <c r="H98" s="3">
        <f>SUM(H91, H96)</f>
        <v>0</v>
      </c>
      <c r="I98" s="3">
        <f>SUM(I91, I96)</f>
        <v>37</v>
      </c>
      <c r="J98" s="3">
        <f>SUM(H98, I98)</f>
        <v>37</v>
      </c>
    </row>
    <row r="100" spans="1:10" x14ac:dyDescent="0.25">
      <c r="A100" s="7" t="s">
        <v>47</v>
      </c>
    </row>
    <row r="102" spans="1:10" x14ac:dyDescent="0.25">
      <c r="B102" t="s">
        <v>48</v>
      </c>
      <c r="H102" s="3">
        <v>0</v>
      </c>
      <c r="I102" s="18">
        <v>255</v>
      </c>
      <c r="J102" s="3">
        <f>SUM(H102, I102)</f>
        <v>255</v>
      </c>
    </row>
    <row r="103" spans="1:10" x14ac:dyDescent="0.25">
      <c r="H103" s="3"/>
      <c r="I103" s="3"/>
    </row>
    <row r="104" spans="1:10" x14ac:dyDescent="0.25">
      <c r="A104" s="7" t="s">
        <v>117</v>
      </c>
    </row>
    <row r="106" spans="1:10" x14ac:dyDescent="0.25">
      <c r="B106" t="s">
        <v>51</v>
      </c>
      <c r="H106" s="3">
        <f>SUM(H50, H69, H84, H98, H102)</f>
        <v>327.20808149999999</v>
      </c>
      <c r="I106" s="3">
        <f>SUM(I50, I69, I84, I98, I102)</f>
        <v>379.9</v>
      </c>
      <c r="J106" s="3">
        <f>SUM(H106, I106)</f>
        <v>707.10808150000003</v>
      </c>
    </row>
    <row r="107" spans="1:10" x14ac:dyDescent="0.25">
      <c r="B107" t="s">
        <v>52</v>
      </c>
      <c r="H107" s="3">
        <f>H106/$I$5</f>
        <v>5.4534680250000003</v>
      </c>
      <c r="I107" s="3">
        <f>I106/$I$5</f>
        <v>6.3316666666666661</v>
      </c>
      <c r="J107" s="3">
        <f>SUM(H107, I107)</f>
        <v>11.785134691666666</v>
      </c>
    </row>
    <row r="109" spans="1:10" x14ac:dyDescent="0.25">
      <c r="A109" s="7" t="s">
        <v>118</v>
      </c>
    </row>
    <row r="111" spans="1:10" x14ac:dyDescent="0.25">
      <c r="B111" t="s">
        <v>51</v>
      </c>
      <c r="J111" s="3">
        <f>J12-H106</f>
        <v>385.79191850000001</v>
      </c>
    </row>
    <row r="112" spans="1:10" x14ac:dyDescent="0.25">
      <c r="B112" t="s">
        <v>52</v>
      </c>
      <c r="J112" s="3">
        <f>J111/$I$5</f>
        <v>6.4298653083333335</v>
      </c>
    </row>
    <row r="114" spans="1:10" x14ac:dyDescent="0.25">
      <c r="A114" s="7" t="s">
        <v>119</v>
      </c>
    </row>
    <row r="116" spans="1:10" x14ac:dyDescent="0.25">
      <c r="B116" t="s">
        <v>51</v>
      </c>
      <c r="J116" s="3">
        <f>J12-J106</f>
        <v>5.8919184999999743</v>
      </c>
    </row>
    <row r="117" spans="1:10" x14ac:dyDescent="0.25">
      <c r="B117" t="s">
        <v>52</v>
      </c>
      <c r="J117" s="3">
        <f>J116/$I$5</f>
        <v>9.8198641666666239E-2</v>
      </c>
    </row>
  </sheetData>
  <sheetProtection sheet="1" objects="1" scenarios="1"/>
  <printOptions headings="1" gridLines="1"/>
  <pageMargins left="0.7" right="0.7" top="0.75" bottom="0.75" header="0.3" footer="0.3"/>
  <pageSetup scale="4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3"/>
  <sheetViews>
    <sheetView topLeftCell="A15" zoomScale="150" zoomScaleNormal="150" workbookViewId="0">
      <selection activeCell="A15" sqref="A15"/>
    </sheetView>
  </sheetViews>
  <sheetFormatPr defaultRowHeight="15" x14ac:dyDescent="0.25"/>
  <sheetData>
    <row r="1" spans="1:10" x14ac:dyDescent="0.25">
      <c r="A1" s="1" t="s">
        <v>150</v>
      </c>
    </row>
    <row r="3" spans="1:10" x14ac:dyDescent="0.25">
      <c r="A3" s="7" t="s">
        <v>1</v>
      </c>
    </row>
    <row r="5" spans="1:10" x14ac:dyDescent="0.25">
      <c r="B5" t="s">
        <v>3</v>
      </c>
      <c r="I5" s="17">
        <v>85</v>
      </c>
      <c r="J5" s="3"/>
    </row>
    <row r="6" spans="1:10" x14ac:dyDescent="0.25">
      <c r="B6" t="s">
        <v>2</v>
      </c>
      <c r="I6" s="18">
        <v>5.9</v>
      </c>
      <c r="J6" s="2"/>
    </row>
    <row r="7" spans="1:10" x14ac:dyDescent="0.25">
      <c r="B7" t="s">
        <v>9</v>
      </c>
      <c r="J7" s="24">
        <f>(I5*I6)</f>
        <v>501.50000000000006</v>
      </c>
    </row>
    <row r="8" spans="1:10" x14ac:dyDescent="0.25">
      <c r="B8" t="s">
        <v>4</v>
      </c>
      <c r="J8" s="18">
        <v>0</v>
      </c>
    </row>
    <row r="9" spans="1:10" x14ac:dyDescent="0.25">
      <c r="B9" t="s">
        <v>5</v>
      </c>
      <c r="J9" s="18">
        <v>0</v>
      </c>
    </row>
    <row r="10" spans="1:10" x14ac:dyDescent="0.25">
      <c r="B10" t="s">
        <v>10</v>
      </c>
      <c r="J10" s="18">
        <v>0</v>
      </c>
    </row>
    <row r="12" spans="1:10" x14ac:dyDescent="0.25">
      <c r="B12" t="s">
        <v>6</v>
      </c>
      <c r="J12" s="24">
        <f>SUM(J7:J10)</f>
        <v>501.50000000000006</v>
      </c>
    </row>
    <row r="14" spans="1:10" x14ac:dyDescent="0.25">
      <c r="A14" s="7" t="s">
        <v>34</v>
      </c>
      <c r="C14" s="1"/>
    </row>
    <row r="15" spans="1:10" x14ac:dyDescent="0.25">
      <c r="H15" s="4" t="s">
        <v>11</v>
      </c>
      <c r="I15" s="4" t="s">
        <v>12</v>
      </c>
      <c r="J15" s="4" t="s">
        <v>6</v>
      </c>
    </row>
    <row r="16" spans="1:10" x14ac:dyDescent="0.25">
      <c r="H16" s="4"/>
      <c r="I16" s="4"/>
      <c r="J16" s="4"/>
    </row>
    <row r="17" spans="2:10" x14ac:dyDescent="0.25">
      <c r="B17" t="s">
        <v>7</v>
      </c>
    </row>
    <row r="18" spans="2:10" x14ac:dyDescent="0.25">
      <c r="C18" t="s">
        <v>128</v>
      </c>
      <c r="G18" s="18">
        <v>22</v>
      </c>
    </row>
    <row r="19" spans="2:10" x14ac:dyDescent="0.25">
      <c r="C19" t="s">
        <v>127</v>
      </c>
      <c r="G19" s="23">
        <v>2</v>
      </c>
    </row>
    <row r="20" spans="2:10" x14ac:dyDescent="0.25">
      <c r="C20" t="s">
        <v>8</v>
      </c>
      <c r="H20" s="3">
        <f>G18*G19</f>
        <v>44</v>
      </c>
      <c r="I20" s="3">
        <v>0</v>
      </c>
      <c r="J20" s="3">
        <f>SUM(H20, I20)</f>
        <v>44</v>
      </c>
    </row>
    <row r="22" spans="2:10" x14ac:dyDescent="0.25">
      <c r="B22" t="s">
        <v>15</v>
      </c>
    </row>
    <row r="23" spans="2:10" x14ac:dyDescent="0.25">
      <c r="C23" t="s">
        <v>16</v>
      </c>
      <c r="G23" s="17">
        <v>101.3</v>
      </c>
    </row>
    <row r="24" spans="2:10" x14ac:dyDescent="0.25">
      <c r="C24" t="s">
        <v>132</v>
      </c>
      <c r="G24" s="32">
        <v>0.64</v>
      </c>
    </row>
    <row r="25" spans="2:10" x14ac:dyDescent="0.25">
      <c r="C25" t="s">
        <v>18</v>
      </c>
      <c r="H25" s="3">
        <f>G23*G24</f>
        <v>64.831999999999994</v>
      </c>
      <c r="I25" s="3">
        <v>0</v>
      </c>
      <c r="J25" s="3">
        <f>SUM(H25, I25)</f>
        <v>64.831999999999994</v>
      </c>
    </row>
    <row r="27" spans="2:10" x14ac:dyDescent="0.25">
      <c r="B27" t="s">
        <v>19</v>
      </c>
    </row>
    <row r="28" spans="2:10" x14ac:dyDescent="0.25">
      <c r="C28" t="s">
        <v>16</v>
      </c>
      <c r="G28" s="17">
        <v>53.6</v>
      </c>
    </row>
    <row r="29" spans="2:10" x14ac:dyDescent="0.25">
      <c r="C29" t="s">
        <v>132</v>
      </c>
      <c r="G29" s="22">
        <v>0.8</v>
      </c>
    </row>
    <row r="30" spans="2:10" x14ac:dyDescent="0.25">
      <c r="C30" t="s">
        <v>20</v>
      </c>
      <c r="H30" s="3">
        <f>G28*G29</f>
        <v>42.88</v>
      </c>
      <c r="I30" s="3">
        <v>0</v>
      </c>
      <c r="J30" s="3">
        <f>SUM(H30, I30)</f>
        <v>42.88</v>
      </c>
    </row>
    <row r="32" spans="2:10" x14ac:dyDescent="0.25">
      <c r="B32" t="s">
        <v>21</v>
      </c>
    </row>
    <row r="33" spans="2:10" x14ac:dyDescent="0.25">
      <c r="C33" t="s">
        <v>16</v>
      </c>
      <c r="G33" s="23">
        <v>51.5</v>
      </c>
    </row>
    <row r="34" spans="2:10" x14ac:dyDescent="0.25">
      <c r="C34" t="s">
        <v>132</v>
      </c>
      <c r="G34" s="22">
        <v>0.41</v>
      </c>
    </row>
    <row r="35" spans="2:10" x14ac:dyDescent="0.25">
      <c r="C35" t="s">
        <v>22</v>
      </c>
      <c r="H35" s="3">
        <f>G33*G34</f>
        <v>21.114999999999998</v>
      </c>
      <c r="I35" s="3">
        <v>0</v>
      </c>
      <c r="J35" s="3">
        <f>SUM(H35, I35)</f>
        <v>21.114999999999998</v>
      </c>
    </row>
    <row r="36" spans="2:10" x14ac:dyDescent="0.25">
      <c r="H36" s="3"/>
      <c r="I36" s="3"/>
      <c r="J36" s="3"/>
    </row>
    <row r="37" spans="2:10" x14ac:dyDescent="0.25">
      <c r="B37" t="s">
        <v>165</v>
      </c>
      <c r="H37" s="3"/>
      <c r="I37" s="3"/>
      <c r="J37" s="3"/>
    </row>
    <row r="38" spans="2:10" x14ac:dyDescent="0.25">
      <c r="C38" t="s">
        <v>16</v>
      </c>
      <c r="G38" s="23">
        <v>0</v>
      </c>
    </row>
    <row r="39" spans="2:10" x14ac:dyDescent="0.25">
      <c r="C39" t="s">
        <v>132</v>
      </c>
      <c r="G39" s="22">
        <v>0</v>
      </c>
    </row>
    <row r="40" spans="2:10" x14ac:dyDescent="0.25">
      <c r="C40" t="s">
        <v>110</v>
      </c>
      <c r="H40" s="3">
        <f>G38*G39</f>
        <v>0</v>
      </c>
      <c r="I40" s="3">
        <v>0</v>
      </c>
      <c r="J40" s="3">
        <f>SUM(H40, I40)</f>
        <v>0</v>
      </c>
    </row>
    <row r="42" spans="2:10" x14ac:dyDescent="0.25">
      <c r="B42" t="s">
        <v>23</v>
      </c>
      <c r="H42" s="18">
        <v>9.1</v>
      </c>
      <c r="I42" s="3">
        <v>0</v>
      </c>
      <c r="J42" s="3">
        <f t="shared" ref="J42:J49" si="0">SUM(H42, I42)</f>
        <v>9.1</v>
      </c>
    </row>
    <row r="43" spans="2:10" x14ac:dyDescent="0.25">
      <c r="B43" t="s">
        <v>24</v>
      </c>
      <c r="H43" s="18">
        <v>45</v>
      </c>
      <c r="I43" s="3">
        <v>0</v>
      </c>
      <c r="J43" s="3">
        <f t="shared" si="0"/>
        <v>45</v>
      </c>
    </row>
    <row r="44" spans="2:10" x14ac:dyDescent="0.25">
      <c r="B44" t="s">
        <v>25</v>
      </c>
      <c r="H44" s="18">
        <v>0</v>
      </c>
      <c r="I44" s="3">
        <v>0</v>
      </c>
      <c r="J44" s="3">
        <f t="shared" si="0"/>
        <v>0</v>
      </c>
    </row>
    <row r="45" spans="2:10" x14ac:dyDescent="0.25">
      <c r="B45" t="s">
        <v>26</v>
      </c>
      <c r="H45" s="18">
        <v>0</v>
      </c>
      <c r="I45" s="3">
        <v>0</v>
      </c>
      <c r="J45" s="3">
        <f t="shared" si="0"/>
        <v>0</v>
      </c>
    </row>
    <row r="46" spans="2:10" x14ac:dyDescent="0.25">
      <c r="B46" t="s">
        <v>126</v>
      </c>
      <c r="H46" s="18">
        <v>0</v>
      </c>
      <c r="I46" s="3">
        <v>0</v>
      </c>
      <c r="J46" s="3">
        <f t="shared" si="0"/>
        <v>0</v>
      </c>
    </row>
    <row r="47" spans="2:10" x14ac:dyDescent="0.25">
      <c r="B47" t="s">
        <v>27</v>
      </c>
      <c r="H47" s="18">
        <v>10</v>
      </c>
      <c r="I47" s="3">
        <v>0</v>
      </c>
      <c r="J47" s="3">
        <f t="shared" si="0"/>
        <v>10</v>
      </c>
    </row>
    <row r="48" spans="2:10" x14ac:dyDescent="0.25">
      <c r="B48" t="s">
        <v>28</v>
      </c>
      <c r="H48" s="18">
        <v>20</v>
      </c>
      <c r="I48" s="3">
        <v>0</v>
      </c>
      <c r="J48" s="3">
        <f t="shared" si="0"/>
        <v>20</v>
      </c>
    </row>
    <row r="49" spans="1:10" x14ac:dyDescent="0.25">
      <c r="B49" t="s">
        <v>115</v>
      </c>
      <c r="G49" s="20">
        <v>7.0000000000000007E-2</v>
      </c>
      <c r="H49" s="3">
        <f>((SUM(H20, H25, H30, H35, H40, H42:H44, H46, H48)*0.5))*$G$49</f>
        <v>8.6424450000000004</v>
      </c>
      <c r="I49" s="3">
        <v>0</v>
      </c>
      <c r="J49" s="3">
        <f t="shared" si="0"/>
        <v>8.6424450000000004</v>
      </c>
    </row>
    <row r="51" spans="1:10" x14ac:dyDescent="0.25">
      <c r="B51" t="s">
        <v>35</v>
      </c>
      <c r="H51" s="3">
        <f>SUM(H20, H30, H35, H42:H49)</f>
        <v>200.73744499999998</v>
      </c>
      <c r="I51" s="3">
        <f>SUM(I20, I30, I35, I42:I49)</f>
        <v>0</v>
      </c>
      <c r="J51" s="3">
        <f>SUM(H51, I51)</f>
        <v>200.73744499999998</v>
      </c>
    </row>
    <row r="53" spans="1:10" x14ac:dyDescent="0.25">
      <c r="A53" s="7" t="s">
        <v>116</v>
      </c>
    </row>
    <row r="54" spans="1:10" x14ac:dyDescent="0.25">
      <c r="H54" s="4" t="s">
        <v>11</v>
      </c>
      <c r="I54" s="4" t="s">
        <v>12</v>
      </c>
      <c r="J54" s="4" t="s">
        <v>6</v>
      </c>
    </row>
    <row r="55" spans="1:10" x14ac:dyDescent="0.25">
      <c r="H55" s="4"/>
      <c r="I55" s="4"/>
    </row>
    <row r="56" spans="1:10" x14ac:dyDescent="0.25">
      <c r="B56" t="s">
        <v>166</v>
      </c>
      <c r="H56" s="18">
        <v>1.77</v>
      </c>
      <c r="I56" s="18">
        <v>6.68</v>
      </c>
      <c r="J56" s="3">
        <f>SUM(H56, I56)</f>
        <v>8.4499999999999993</v>
      </c>
    </row>
    <row r="57" spans="1:10" x14ac:dyDescent="0.25">
      <c r="B57" t="s">
        <v>30</v>
      </c>
      <c r="H57" s="18">
        <v>2.08</v>
      </c>
      <c r="I57" s="18">
        <v>4.75</v>
      </c>
      <c r="J57" s="3">
        <f t="shared" ref="J57:J70" si="1">SUM(H57, I57)</f>
        <v>6.83</v>
      </c>
    </row>
    <row r="58" spans="1:10" x14ac:dyDescent="0.25">
      <c r="B58" t="s">
        <v>170</v>
      </c>
      <c r="H58" s="18">
        <v>3.86</v>
      </c>
      <c r="I58" s="18">
        <v>14.16</v>
      </c>
      <c r="J58" s="3">
        <f t="shared" si="1"/>
        <v>18.02</v>
      </c>
    </row>
    <row r="59" spans="1:10" x14ac:dyDescent="0.25">
      <c r="B59" t="s">
        <v>32</v>
      </c>
      <c r="H59" s="18">
        <v>4.1500000000000004</v>
      </c>
      <c r="I59" s="18">
        <v>13.12</v>
      </c>
      <c r="J59" s="3">
        <f t="shared" si="1"/>
        <v>17.27</v>
      </c>
    </row>
    <row r="60" spans="1:10" x14ac:dyDescent="0.25">
      <c r="B60" t="s">
        <v>184</v>
      </c>
      <c r="H60" s="18">
        <v>4.6100000000000003</v>
      </c>
      <c r="I60" s="18">
        <v>12.11</v>
      </c>
      <c r="J60" s="3">
        <f t="shared" si="1"/>
        <v>16.72</v>
      </c>
    </row>
    <row r="61" spans="1:10" x14ac:dyDescent="0.25">
      <c r="B61" t="s">
        <v>111</v>
      </c>
      <c r="H61" s="18">
        <v>1.59</v>
      </c>
      <c r="I61" s="18">
        <v>6.01</v>
      </c>
      <c r="J61" s="3">
        <f t="shared" si="1"/>
        <v>7.6</v>
      </c>
    </row>
    <row r="62" spans="1:10" x14ac:dyDescent="0.25">
      <c r="B62" t="s">
        <v>33</v>
      </c>
      <c r="H62" s="18">
        <v>0</v>
      </c>
      <c r="I62" s="18">
        <v>0</v>
      </c>
      <c r="J62" s="3">
        <f t="shared" si="1"/>
        <v>0</v>
      </c>
    </row>
    <row r="63" spans="1:10" x14ac:dyDescent="0.25">
      <c r="B63" t="s">
        <v>33</v>
      </c>
      <c r="H63" s="18">
        <v>0</v>
      </c>
      <c r="I63" s="18">
        <v>0</v>
      </c>
      <c r="J63" s="3">
        <f t="shared" si="1"/>
        <v>0</v>
      </c>
    </row>
    <row r="64" spans="1:10" x14ac:dyDescent="0.25">
      <c r="B64" t="s">
        <v>33</v>
      </c>
      <c r="H64" s="18">
        <v>0</v>
      </c>
      <c r="I64" s="18">
        <v>0</v>
      </c>
      <c r="J64" s="3">
        <f t="shared" si="1"/>
        <v>0</v>
      </c>
    </row>
    <row r="65" spans="1:10" x14ac:dyDescent="0.25">
      <c r="B65" t="s">
        <v>33</v>
      </c>
      <c r="H65" s="18">
        <v>0</v>
      </c>
      <c r="I65" s="18">
        <v>0</v>
      </c>
      <c r="J65" s="3">
        <f t="shared" si="1"/>
        <v>0</v>
      </c>
    </row>
    <row r="66" spans="1:10" x14ac:dyDescent="0.25">
      <c r="B66" t="s">
        <v>33</v>
      </c>
      <c r="H66" s="18">
        <v>0</v>
      </c>
      <c r="I66" s="18">
        <v>0</v>
      </c>
      <c r="J66" s="3">
        <f t="shared" si="1"/>
        <v>0</v>
      </c>
    </row>
    <row r="67" spans="1:10" x14ac:dyDescent="0.25">
      <c r="B67" t="s">
        <v>33</v>
      </c>
      <c r="H67" s="18">
        <v>0</v>
      </c>
      <c r="I67" s="18">
        <v>0</v>
      </c>
      <c r="J67" s="3">
        <f t="shared" si="1"/>
        <v>0</v>
      </c>
    </row>
    <row r="68" spans="1:10" x14ac:dyDescent="0.25">
      <c r="B68" t="s">
        <v>33</v>
      </c>
      <c r="H68" s="18">
        <v>0</v>
      </c>
      <c r="I68" s="18">
        <v>0</v>
      </c>
      <c r="J68" s="3">
        <f t="shared" si="1"/>
        <v>0</v>
      </c>
    </row>
    <row r="69" spans="1:10" x14ac:dyDescent="0.25">
      <c r="H69" s="3"/>
      <c r="I69" s="3"/>
      <c r="J69" s="3"/>
    </row>
    <row r="70" spans="1:10" x14ac:dyDescent="0.25">
      <c r="B70" t="s">
        <v>35</v>
      </c>
      <c r="H70" s="3">
        <f>SUM((H56*($G$33/1000)), H57:H68)</f>
        <v>16.381155</v>
      </c>
      <c r="I70" s="3">
        <f>SUM((I56*($G$33/1000)), I57:I68)</f>
        <v>50.494019999999999</v>
      </c>
      <c r="J70" s="3">
        <f t="shared" si="1"/>
        <v>66.875174999999999</v>
      </c>
    </row>
    <row r="72" spans="1:10" x14ac:dyDescent="0.25">
      <c r="A72" s="7" t="s">
        <v>36</v>
      </c>
    </row>
    <row r="73" spans="1:10" x14ac:dyDescent="0.25">
      <c r="H73" s="4" t="s">
        <v>11</v>
      </c>
      <c r="I73" s="4" t="s">
        <v>12</v>
      </c>
      <c r="J73" s="4" t="s">
        <v>6</v>
      </c>
    </row>
    <row r="75" spans="1:10" x14ac:dyDescent="0.25">
      <c r="B75" t="s">
        <v>37</v>
      </c>
      <c r="D75" s="1"/>
      <c r="H75" s="18">
        <v>11.58</v>
      </c>
      <c r="I75" s="18">
        <v>28.98</v>
      </c>
      <c r="J75" s="3">
        <f>H75+I75</f>
        <v>40.56</v>
      </c>
    </row>
    <row r="76" spans="1:10" x14ac:dyDescent="0.25">
      <c r="H76" s="25"/>
      <c r="I76" s="25"/>
      <c r="J76" s="3"/>
    </row>
    <row r="77" spans="1:10" x14ac:dyDescent="0.25">
      <c r="B77" t="s">
        <v>130</v>
      </c>
    </row>
    <row r="78" spans="1:10" x14ac:dyDescent="0.25">
      <c r="C78" t="s">
        <v>112</v>
      </c>
      <c r="G78" s="18">
        <v>0.15</v>
      </c>
      <c r="H78" s="3">
        <f>$G$78*$I$5</f>
        <v>12.75</v>
      </c>
      <c r="I78" s="3">
        <v>0</v>
      </c>
      <c r="J78" s="3">
        <f>SUM(H78, I78)</f>
        <v>12.75</v>
      </c>
    </row>
    <row r="80" spans="1:10" x14ac:dyDescent="0.25">
      <c r="B80" t="s">
        <v>35</v>
      </c>
      <c r="H80" s="3">
        <f xml:space="preserve"> SUM(H75, H78)</f>
        <v>24.33</v>
      </c>
      <c r="I80" s="3">
        <f xml:space="preserve"> SUM(I75, I78)</f>
        <v>28.98</v>
      </c>
      <c r="J80" s="3">
        <f>SUM(H80, I80)</f>
        <v>53.31</v>
      </c>
    </row>
    <row r="82" spans="1:10" x14ac:dyDescent="0.25">
      <c r="A82" s="7" t="s">
        <v>43</v>
      </c>
    </row>
    <row r="84" spans="1:10" x14ac:dyDescent="0.25">
      <c r="B84" t="s">
        <v>41</v>
      </c>
    </row>
    <row r="85" spans="1:10" x14ac:dyDescent="0.25">
      <c r="C85" t="s">
        <v>44</v>
      </c>
      <c r="G85" s="18">
        <v>0.8</v>
      </c>
    </row>
    <row r="86" spans="1:10" x14ac:dyDescent="0.25">
      <c r="C86" t="s">
        <v>45</v>
      </c>
      <c r="G86" s="18">
        <v>20</v>
      </c>
    </row>
    <row r="87" spans="1:10" x14ac:dyDescent="0.25">
      <c r="C87" t="s">
        <v>46</v>
      </c>
      <c r="H87" s="3">
        <v>0</v>
      </c>
      <c r="I87" s="3">
        <f>G85*G86</f>
        <v>16</v>
      </c>
      <c r="J87" s="3">
        <f>SUM(H87, I87)</f>
        <v>16</v>
      </c>
    </row>
    <row r="89" spans="1:10" x14ac:dyDescent="0.25">
      <c r="B89" t="s">
        <v>42</v>
      </c>
    </row>
    <row r="90" spans="1:10" x14ac:dyDescent="0.25">
      <c r="C90" t="s">
        <v>44</v>
      </c>
      <c r="G90" s="18">
        <v>1</v>
      </c>
    </row>
    <row r="91" spans="1:10" x14ac:dyDescent="0.25">
      <c r="C91" t="s">
        <v>45</v>
      </c>
      <c r="G91" s="18">
        <v>25</v>
      </c>
    </row>
    <row r="92" spans="1:10" x14ac:dyDescent="0.25">
      <c r="C92" t="s">
        <v>42</v>
      </c>
      <c r="H92" s="3">
        <v>0</v>
      </c>
      <c r="I92" s="3">
        <f>G90*G91</f>
        <v>25</v>
      </c>
      <c r="J92" s="3">
        <f>SUM(H92, I92)</f>
        <v>25</v>
      </c>
    </row>
    <row r="94" spans="1:10" x14ac:dyDescent="0.25">
      <c r="B94" t="s">
        <v>35</v>
      </c>
      <c r="H94" s="3">
        <f>SUM(H87, H92)</f>
        <v>0</v>
      </c>
      <c r="I94" s="3">
        <f>SUM(I87, I92)</f>
        <v>41</v>
      </c>
      <c r="J94" s="3">
        <f>SUM(H94, I94)</f>
        <v>41</v>
      </c>
    </row>
    <row r="96" spans="1:10" x14ac:dyDescent="0.25">
      <c r="A96" s="7" t="s">
        <v>47</v>
      </c>
    </row>
    <row r="98" spans="1:10" x14ac:dyDescent="0.25">
      <c r="B98" t="s">
        <v>48</v>
      </c>
      <c r="H98" s="3">
        <v>0</v>
      </c>
      <c r="I98" s="18">
        <v>255</v>
      </c>
      <c r="J98" s="3">
        <f>SUM(H98, I98)</f>
        <v>255</v>
      </c>
    </row>
    <row r="99" spans="1:10" x14ac:dyDescent="0.25">
      <c r="H99" s="3"/>
      <c r="I99" s="3"/>
    </row>
    <row r="100" spans="1:10" x14ac:dyDescent="0.25">
      <c r="A100" s="7" t="s">
        <v>117</v>
      </c>
    </row>
    <row r="102" spans="1:10" x14ac:dyDescent="0.25">
      <c r="B102" t="s">
        <v>51</v>
      </c>
      <c r="H102" s="3">
        <f>SUM(H51, H70, H80, H94, H98)</f>
        <v>241.4486</v>
      </c>
      <c r="I102" s="3">
        <f>SUM(I51, I70, I80, I94, I98)</f>
        <v>375.47402</v>
      </c>
      <c r="J102" s="3">
        <f>SUM(H102, I102)</f>
        <v>616.92262000000005</v>
      </c>
    </row>
    <row r="103" spans="1:10" x14ac:dyDescent="0.25">
      <c r="B103" t="s">
        <v>52</v>
      </c>
      <c r="H103" s="3">
        <f>H102/$I$5</f>
        <v>2.8405717647058824</v>
      </c>
      <c r="I103" s="3">
        <f t="shared" ref="I103" si="2">I102/$I$5</f>
        <v>4.4173414117647054</v>
      </c>
      <c r="J103" s="3">
        <f>SUM(H103, I103)</f>
        <v>7.2579131764705878</v>
      </c>
    </row>
    <row r="105" spans="1:10" x14ac:dyDescent="0.25">
      <c r="A105" s="7" t="s">
        <v>118</v>
      </c>
    </row>
    <row r="107" spans="1:10" x14ac:dyDescent="0.25">
      <c r="B107" t="s">
        <v>51</v>
      </c>
      <c r="J107" s="3">
        <f>J12-H102</f>
        <v>260.05140000000006</v>
      </c>
    </row>
    <row r="108" spans="1:10" x14ac:dyDescent="0.25">
      <c r="B108" t="s">
        <v>52</v>
      </c>
      <c r="J108" s="3">
        <f>J107/$I$5</f>
        <v>3.0594282352941184</v>
      </c>
    </row>
    <row r="110" spans="1:10" x14ac:dyDescent="0.25">
      <c r="A110" s="7" t="s">
        <v>119</v>
      </c>
    </row>
    <row r="112" spans="1:10" x14ac:dyDescent="0.25">
      <c r="B112" t="s">
        <v>51</v>
      </c>
      <c r="J112" s="3">
        <f>J12-J102</f>
        <v>-115.42261999999999</v>
      </c>
    </row>
    <row r="113" spans="2:10" x14ac:dyDescent="0.25">
      <c r="B113" t="s">
        <v>52</v>
      </c>
      <c r="J113" s="3">
        <f>J112/$I$5</f>
        <v>-1.3579131764705881</v>
      </c>
    </row>
  </sheetData>
  <printOptions headings="1" gridLines="1"/>
  <pageMargins left="0.7" right="0.7" top="0.75" bottom="0.75" header="0.3" footer="0.3"/>
  <pageSetup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12"/>
  <sheetViews>
    <sheetView zoomScale="150" zoomScaleNormal="150" workbookViewId="0"/>
  </sheetViews>
  <sheetFormatPr defaultRowHeight="15" x14ac:dyDescent="0.25"/>
  <sheetData>
    <row r="1" spans="1:10" x14ac:dyDescent="0.25">
      <c r="A1" s="1" t="s">
        <v>154</v>
      </c>
    </row>
    <row r="3" spans="1:10" x14ac:dyDescent="0.25">
      <c r="A3" s="7" t="s">
        <v>1</v>
      </c>
    </row>
    <row r="5" spans="1:10" x14ac:dyDescent="0.25">
      <c r="B5" t="s">
        <v>3</v>
      </c>
      <c r="I5" s="17">
        <v>46.3</v>
      </c>
      <c r="J5" s="3"/>
    </row>
    <row r="6" spans="1:10" x14ac:dyDescent="0.25">
      <c r="B6" t="s">
        <v>2</v>
      </c>
      <c r="I6" s="18">
        <v>11.55</v>
      </c>
      <c r="J6" s="2"/>
    </row>
    <row r="7" spans="1:10" x14ac:dyDescent="0.25">
      <c r="B7" t="s">
        <v>9</v>
      </c>
      <c r="J7" s="3">
        <f>I5*I6</f>
        <v>534.76499999999999</v>
      </c>
    </row>
    <row r="8" spans="1:10" x14ac:dyDescent="0.25">
      <c r="B8" t="s">
        <v>4</v>
      </c>
      <c r="J8" s="18">
        <v>0</v>
      </c>
    </row>
    <row r="9" spans="1:10" x14ac:dyDescent="0.25">
      <c r="B9" t="s">
        <v>5</v>
      </c>
      <c r="J9" s="18">
        <v>20</v>
      </c>
    </row>
    <row r="10" spans="1:10" x14ac:dyDescent="0.25">
      <c r="B10" t="s">
        <v>10</v>
      </c>
      <c r="J10" s="18">
        <v>0</v>
      </c>
    </row>
    <row r="12" spans="1:10" x14ac:dyDescent="0.25">
      <c r="B12" t="s">
        <v>6</v>
      </c>
      <c r="J12" s="3">
        <f>SUM(J7:J10)</f>
        <v>554.76499999999999</v>
      </c>
    </row>
    <row r="14" spans="1:10" x14ac:dyDescent="0.25">
      <c r="A14" s="7" t="s">
        <v>34</v>
      </c>
    </row>
    <row r="15" spans="1:10" x14ac:dyDescent="0.25">
      <c r="H15" s="12" t="s">
        <v>11</v>
      </c>
      <c r="I15" s="12" t="s">
        <v>12</v>
      </c>
      <c r="J15" s="12" t="s">
        <v>6</v>
      </c>
    </row>
    <row r="16" spans="1:10" x14ac:dyDescent="0.25">
      <c r="H16" s="4"/>
      <c r="I16" s="4"/>
      <c r="J16" s="4"/>
    </row>
    <row r="17" spans="2:10" x14ac:dyDescent="0.25">
      <c r="B17" t="s">
        <v>167</v>
      </c>
    </row>
    <row r="18" spans="2:10" x14ac:dyDescent="0.25">
      <c r="C18" t="s">
        <v>169</v>
      </c>
      <c r="G18" s="18">
        <v>29.78</v>
      </c>
    </row>
    <row r="19" spans="2:10" x14ac:dyDescent="0.25">
      <c r="C19" t="s">
        <v>127</v>
      </c>
      <c r="G19" s="31">
        <v>1.1499999999999999</v>
      </c>
    </row>
    <row r="20" spans="2:10" x14ac:dyDescent="0.25">
      <c r="C20" t="s">
        <v>8</v>
      </c>
      <c r="H20" s="3">
        <f>G18*G19</f>
        <v>34.247</v>
      </c>
      <c r="I20" s="3">
        <v>0</v>
      </c>
      <c r="J20" s="3">
        <f>SUM(H20, I20)</f>
        <v>34.247</v>
      </c>
    </row>
    <row r="22" spans="2:10" x14ac:dyDescent="0.25">
      <c r="B22" t="s">
        <v>168</v>
      </c>
    </row>
    <row r="23" spans="2:10" x14ac:dyDescent="0.25">
      <c r="C23" t="s">
        <v>13</v>
      </c>
      <c r="G23" s="18">
        <v>0.6</v>
      </c>
    </row>
    <row r="24" spans="2:10" x14ac:dyDescent="0.25">
      <c r="C24" t="s">
        <v>14</v>
      </c>
      <c r="G24" s="19">
        <v>170000</v>
      </c>
    </row>
    <row r="25" spans="2:10" x14ac:dyDescent="0.25">
      <c r="C25" t="s">
        <v>8</v>
      </c>
      <c r="H25" s="3">
        <f>G23*(G24/1000)</f>
        <v>102</v>
      </c>
      <c r="I25" s="3">
        <v>0</v>
      </c>
      <c r="J25" s="3">
        <f>SUM(H25, I25)</f>
        <v>102</v>
      </c>
    </row>
    <row r="27" spans="2:10" x14ac:dyDescent="0.25">
      <c r="B27" t="s">
        <v>120</v>
      </c>
    </row>
    <row r="28" spans="2:10" x14ac:dyDescent="0.25">
      <c r="C28" t="s">
        <v>217</v>
      </c>
      <c r="G28" s="17">
        <v>1</v>
      </c>
    </row>
    <row r="29" spans="2:10" x14ac:dyDescent="0.25">
      <c r="C29" t="s">
        <v>17</v>
      </c>
      <c r="G29" s="18">
        <v>57</v>
      </c>
    </row>
    <row r="30" spans="2:10" x14ac:dyDescent="0.25">
      <c r="C30" t="s">
        <v>122</v>
      </c>
      <c r="H30" s="3">
        <f>G28*G29</f>
        <v>57</v>
      </c>
      <c r="I30" s="3">
        <v>0</v>
      </c>
      <c r="J30" s="3">
        <f>SUM(H30, I30)</f>
        <v>57</v>
      </c>
    </row>
    <row r="32" spans="2:10" x14ac:dyDescent="0.25">
      <c r="B32" t="s">
        <v>121</v>
      </c>
    </row>
    <row r="33" spans="1:10" x14ac:dyDescent="0.25">
      <c r="C33" t="s">
        <v>123</v>
      </c>
      <c r="G33" s="23">
        <v>0</v>
      </c>
    </row>
    <row r="34" spans="1:10" x14ac:dyDescent="0.25">
      <c r="C34" t="s">
        <v>125</v>
      </c>
      <c r="G34" s="22">
        <v>2.5000000000000001E-2</v>
      </c>
    </row>
    <row r="35" spans="1:10" x14ac:dyDescent="0.25">
      <c r="C35" t="s">
        <v>124</v>
      </c>
      <c r="H35" s="3">
        <f>G33*G34</f>
        <v>0</v>
      </c>
      <c r="I35" s="3">
        <v>0</v>
      </c>
      <c r="J35" s="3">
        <f>SUM(H35, I35)</f>
        <v>0</v>
      </c>
    </row>
    <row r="37" spans="1:10" x14ac:dyDescent="0.25">
      <c r="B37" t="s">
        <v>23</v>
      </c>
      <c r="H37" s="18">
        <v>0</v>
      </c>
      <c r="I37" s="3">
        <v>0</v>
      </c>
      <c r="J37" s="3">
        <f t="shared" ref="J37:J43" si="0">SUM(H37, I37)</f>
        <v>0</v>
      </c>
    </row>
    <row r="38" spans="1:10" x14ac:dyDescent="0.25">
      <c r="B38" t="s">
        <v>24</v>
      </c>
      <c r="H38" s="18">
        <v>0</v>
      </c>
      <c r="I38" s="3">
        <v>0</v>
      </c>
      <c r="J38" s="3">
        <f t="shared" si="0"/>
        <v>0</v>
      </c>
    </row>
    <row r="39" spans="1:10" x14ac:dyDescent="0.25">
      <c r="B39" t="s">
        <v>25</v>
      </c>
      <c r="H39" s="18">
        <v>0</v>
      </c>
      <c r="I39" s="3">
        <v>0</v>
      </c>
      <c r="J39" s="3">
        <f t="shared" si="0"/>
        <v>0</v>
      </c>
    </row>
    <row r="40" spans="1:10" x14ac:dyDescent="0.25">
      <c r="B40" t="s">
        <v>26</v>
      </c>
      <c r="H40" s="18">
        <v>20</v>
      </c>
      <c r="I40" s="3">
        <v>0</v>
      </c>
      <c r="J40" s="3">
        <f t="shared" si="0"/>
        <v>20</v>
      </c>
    </row>
    <row r="41" spans="1:10" x14ac:dyDescent="0.25">
      <c r="B41" t="s">
        <v>27</v>
      </c>
      <c r="H41" s="18">
        <v>10</v>
      </c>
      <c r="I41" s="3">
        <v>0</v>
      </c>
      <c r="J41" s="3">
        <f t="shared" si="0"/>
        <v>10</v>
      </c>
    </row>
    <row r="42" spans="1:10" x14ac:dyDescent="0.25">
      <c r="B42" t="s">
        <v>28</v>
      </c>
      <c r="H42" s="18">
        <v>10</v>
      </c>
      <c r="I42" s="3">
        <v>0</v>
      </c>
      <c r="J42" s="3">
        <f t="shared" si="0"/>
        <v>10</v>
      </c>
    </row>
    <row r="43" spans="1:10" x14ac:dyDescent="0.25">
      <c r="B43" t="s">
        <v>115</v>
      </c>
      <c r="G43" s="20">
        <v>7.0000000000000007E-2</v>
      </c>
      <c r="H43" s="3">
        <f>((SUM(H20, H25, H30, H35, H37:H39, H42)*0.5))*$G$43</f>
        <v>7.1136450000000009</v>
      </c>
      <c r="I43" s="3">
        <v>0</v>
      </c>
      <c r="J43" s="3">
        <f t="shared" si="0"/>
        <v>7.1136450000000009</v>
      </c>
    </row>
    <row r="45" spans="1:10" x14ac:dyDescent="0.25">
      <c r="B45" t="s">
        <v>35</v>
      </c>
      <c r="H45" s="3">
        <f>SUM(H20, H25, H30, H35,  H37:H43)</f>
        <v>240.36064500000001</v>
      </c>
      <c r="I45" s="3">
        <f>SUM(I20, I25, I30, I35,  I37:I43)</f>
        <v>0</v>
      </c>
      <c r="J45" s="3">
        <f>SUM(H45, I45)</f>
        <v>240.36064500000001</v>
      </c>
    </row>
    <row r="47" spans="1:10" x14ac:dyDescent="0.25">
      <c r="A47" s="7" t="s">
        <v>116</v>
      </c>
    </row>
    <row r="48" spans="1:10" x14ac:dyDescent="0.25">
      <c r="H48" s="12" t="s">
        <v>11</v>
      </c>
      <c r="I48" s="12" t="s">
        <v>12</v>
      </c>
      <c r="J48" s="12" t="s">
        <v>6</v>
      </c>
    </row>
    <row r="49" spans="2:10" x14ac:dyDescent="0.25">
      <c r="H49" s="4"/>
      <c r="I49" s="4"/>
    </row>
    <row r="50" spans="2:10" x14ac:dyDescent="0.25">
      <c r="B50" t="s">
        <v>171</v>
      </c>
      <c r="H50" s="18">
        <v>0.99</v>
      </c>
      <c r="I50" s="18">
        <v>4.2</v>
      </c>
      <c r="J50" s="3">
        <f>SUM(H50, I50)</f>
        <v>5.19</v>
      </c>
    </row>
    <row r="51" spans="2:10" x14ac:dyDescent="0.25">
      <c r="B51" t="s">
        <v>133</v>
      </c>
      <c r="H51" s="18">
        <v>2.48</v>
      </c>
      <c r="I51" s="18">
        <v>10.59</v>
      </c>
      <c r="J51" s="3">
        <f t="shared" ref="J51:J64" si="1">SUM(H51, I51)</f>
        <v>13.07</v>
      </c>
    </row>
    <row r="52" spans="2:10" x14ac:dyDescent="0.25">
      <c r="B52" t="s">
        <v>173</v>
      </c>
      <c r="H52" s="18">
        <v>4.6100000000000003</v>
      </c>
      <c r="I52" s="18">
        <v>12.11</v>
      </c>
      <c r="J52" s="3">
        <f t="shared" si="1"/>
        <v>16.72</v>
      </c>
    </row>
    <row r="53" spans="2:10" x14ac:dyDescent="0.25">
      <c r="B53" t="s">
        <v>170</v>
      </c>
      <c r="H53" s="18">
        <v>3.86</v>
      </c>
      <c r="I53" s="18">
        <v>14.16</v>
      </c>
      <c r="J53" s="3">
        <f t="shared" si="1"/>
        <v>18.02</v>
      </c>
    </row>
    <row r="54" spans="2:10" x14ac:dyDescent="0.25">
      <c r="B54" t="s">
        <v>91</v>
      </c>
      <c r="H54" s="18">
        <v>4.1500000000000004</v>
      </c>
      <c r="I54" s="18">
        <v>13.12</v>
      </c>
      <c r="J54" s="3">
        <f t="shared" si="1"/>
        <v>17.27</v>
      </c>
    </row>
    <row r="55" spans="2:10" x14ac:dyDescent="0.25">
      <c r="B55" t="s">
        <v>172</v>
      </c>
      <c r="H55" s="18">
        <v>9.81</v>
      </c>
      <c r="I55" s="18">
        <v>16.2</v>
      </c>
      <c r="J55" s="3">
        <f t="shared" si="1"/>
        <v>26.009999999999998</v>
      </c>
    </row>
    <row r="56" spans="2:10" x14ac:dyDescent="0.25">
      <c r="B56" t="s">
        <v>93</v>
      </c>
      <c r="H56" s="18">
        <v>0.96</v>
      </c>
      <c r="I56" s="18">
        <v>9.3800000000000008</v>
      </c>
      <c r="J56" s="3">
        <f t="shared" si="1"/>
        <v>10.34</v>
      </c>
    </row>
    <row r="57" spans="2:10" x14ac:dyDescent="0.25">
      <c r="B57" t="s">
        <v>93</v>
      </c>
      <c r="H57" s="18">
        <v>0.96</v>
      </c>
      <c r="I57" s="18">
        <v>9.3800000000000008</v>
      </c>
      <c r="J57" s="3">
        <f t="shared" si="1"/>
        <v>10.34</v>
      </c>
    </row>
    <row r="58" spans="2:10" x14ac:dyDescent="0.25">
      <c r="B58" t="s">
        <v>94</v>
      </c>
      <c r="H58" s="18">
        <v>2.4900000000000002</v>
      </c>
      <c r="I58" s="18">
        <v>12.67</v>
      </c>
      <c r="J58" s="3">
        <f t="shared" si="1"/>
        <v>15.16</v>
      </c>
    </row>
    <row r="59" spans="2:10" x14ac:dyDescent="0.25">
      <c r="B59" t="s">
        <v>94</v>
      </c>
      <c r="H59" s="18">
        <v>2.4900000000000002</v>
      </c>
      <c r="I59" s="18">
        <v>12.67</v>
      </c>
      <c r="J59" s="3">
        <f t="shared" si="1"/>
        <v>15.16</v>
      </c>
    </row>
    <row r="60" spans="2:10" x14ac:dyDescent="0.25">
      <c r="B60" t="s">
        <v>33</v>
      </c>
      <c r="H60" s="18">
        <v>0</v>
      </c>
      <c r="I60" s="18">
        <v>0</v>
      </c>
      <c r="J60" s="3">
        <f t="shared" si="1"/>
        <v>0</v>
      </c>
    </row>
    <row r="61" spans="2:10" x14ac:dyDescent="0.25">
      <c r="B61" t="s">
        <v>33</v>
      </c>
      <c r="H61" s="18">
        <v>0</v>
      </c>
      <c r="I61" s="18">
        <v>0</v>
      </c>
      <c r="J61" s="3">
        <f t="shared" si="1"/>
        <v>0</v>
      </c>
    </row>
    <row r="62" spans="2:10" x14ac:dyDescent="0.25">
      <c r="B62" t="s">
        <v>33</v>
      </c>
      <c r="H62" s="18">
        <v>0</v>
      </c>
      <c r="I62" s="18">
        <v>0</v>
      </c>
      <c r="J62" s="3">
        <f t="shared" si="1"/>
        <v>0</v>
      </c>
    </row>
    <row r="63" spans="2:10" x14ac:dyDescent="0.25">
      <c r="H63" s="3"/>
      <c r="I63" s="3"/>
      <c r="J63" s="3"/>
    </row>
    <row r="64" spans="2:10" x14ac:dyDescent="0.25">
      <c r="B64" t="s">
        <v>35</v>
      </c>
      <c r="H64" s="3">
        <f>SUM((H50*$G$28), (H51*($G$33/1000)), H52:H62)</f>
        <v>30.320000000000007</v>
      </c>
      <c r="I64" s="3">
        <f>SUM((I50*$G$28), (I51*($G$33/1000)), I52:I62)</f>
        <v>103.88999999999999</v>
      </c>
      <c r="J64" s="3">
        <f t="shared" si="1"/>
        <v>134.20999999999998</v>
      </c>
    </row>
    <row r="66" spans="1:10" x14ac:dyDescent="0.25">
      <c r="A66" s="7" t="s">
        <v>36</v>
      </c>
    </row>
    <row r="67" spans="1:10" x14ac:dyDescent="0.25">
      <c r="H67" s="12" t="s">
        <v>11</v>
      </c>
      <c r="I67" s="12" t="s">
        <v>12</v>
      </c>
      <c r="J67" s="12" t="s">
        <v>6</v>
      </c>
    </row>
    <row r="69" spans="1:10" x14ac:dyDescent="0.25">
      <c r="B69" t="s">
        <v>37</v>
      </c>
      <c r="H69" s="18">
        <v>12.08</v>
      </c>
      <c r="I69" s="18">
        <v>27.65</v>
      </c>
      <c r="J69" s="3">
        <f>H69+I69</f>
        <v>39.729999999999997</v>
      </c>
    </row>
    <row r="70" spans="1:10" x14ac:dyDescent="0.25">
      <c r="H70" s="25"/>
      <c r="I70" s="25"/>
      <c r="J70" s="3"/>
    </row>
    <row r="71" spans="1:10" x14ac:dyDescent="0.25">
      <c r="B71" t="s">
        <v>38</v>
      </c>
    </row>
    <row r="72" spans="1:10" x14ac:dyDescent="0.25">
      <c r="C72" t="s">
        <v>112</v>
      </c>
      <c r="G72" s="18">
        <v>0.15</v>
      </c>
      <c r="H72" s="3">
        <f>$G$72*$I$5</f>
        <v>6.9449999999999994</v>
      </c>
      <c r="I72" s="3">
        <v>0</v>
      </c>
      <c r="J72" s="3">
        <f>H72+I72</f>
        <v>6.9449999999999994</v>
      </c>
    </row>
    <row r="74" spans="1:10" x14ac:dyDescent="0.25">
      <c r="B74" t="s">
        <v>39</v>
      </c>
    </row>
    <row r="75" spans="1:10" x14ac:dyDescent="0.25">
      <c r="C75" t="s">
        <v>113</v>
      </c>
      <c r="G75" s="18">
        <v>0</v>
      </c>
    </row>
    <row r="76" spans="1:10" x14ac:dyDescent="0.25">
      <c r="C76" t="s">
        <v>114</v>
      </c>
      <c r="G76" s="17">
        <v>0</v>
      </c>
    </row>
    <row r="77" spans="1:10" x14ac:dyDescent="0.25">
      <c r="C77" t="s">
        <v>40</v>
      </c>
      <c r="H77" s="3">
        <f>$G$75*$G$76*$I$5</f>
        <v>0</v>
      </c>
      <c r="I77" s="3">
        <v>0</v>
      </c>
      <c r="J77" s="3">
        <f>SUM(H77, I77)</f>
        <v>0</v>
      </c>
    </row>
    <row r="79" spans="1:10" x14ac:dyDescent="0.25">
      <c r="B79" t="s">
        <v>35</v>
      </c>
      <c r="H79" s="3">
        <f>SUM(H69, H72, H77)</f>
        <v>19.024999999999999</v>
      </c>
      <c r="I79" s="3">
        <f t="shared" ref="I79:J79" si="2">SUM(I69, I72, I77)</f>
        <v>27.65</v>
      </c>
      <c r="J79" s="3">
        <f t="shared" si="2"/>
        <v>46.674999999999997</v>
      </c>
    </row>
    <row r="81" spans="1:10" x14ac:dyDescent="0.25">
      <c r="A81" s="7" t="s">
        <v>43</v>
      </c>
    </row>
    <row r="83" spans="1:10" x14ac:dyDescent="0.25">
      <c r="B83" t="s">
        <v>41</v>
      </c>
    </row>
    <row r="84" spans="1:10" x14ac:dyDescent="0.25">
      <c r="C84" t="s">
        <v>44</v>
      </c>
      <c r="G84" s="18">
        <v>1.95</v>
      </c>
    </row>
    <row r="85" spans="1:10" x14ac:dyDescent="0.25">
      <c r="C85" t="s">
        <v>45</v>
      </c>
      <c r="G85" s="18">
        <v>20</v>
      </c>
    </row>
    <row r="86" spans="1:10" x14ac:dyDescent="0.25">
      <c r="C86" t="s">
        <v>46</v>
      </c>
      <c r="H86" s="3">
        <v>0</v>
      </c>
      <c r="I86" s="3">
        <f>G84*G85</f>
        <v>39</v>
      </c>
      <c r="J86" s="3">
        <f>SUM(H86, I86)</f>
        <v>39</v>
      </c>
    </row>
    <row r="88" spans="1:10" x14ac:dyDescent="0.25">
      <c r="B88" t="s">
        <v>42</v>
      </c>
    </row>
    <row r="89" spans="1:10" x14ac:dyDescent="0.25">
      <c r="C89" t="s">
        <v>44</v>
      </c>
      <c r="G89" s="18">
        <v>1</v>
      </c>
    </row>
    <row r="90" spans="1:10" x14ac:dyDescent="0.25">
      <c r="C90" t="s">
        <v>45</v>
      </c>
      <c r="G90" s="18">
        <v>25</v>
      </c>
    </row>
    <row r="91" spans="1:10" x14ac:dyDescent="0.25">
      <c r="C91" t="s">
        <v>42</v>
      </c>
      <c r="H91" s="3">
        <v>0</v>
      </c>
      <c r="I91" s="3">
        <f>G89*G90</f>
        <v>25</v>
      </c>
      <c r="J91" s="3">
        <f>SUM(H91, I91)</f>
        <v>25</v>
      </c>
    </row>
    <row r="93" spans="1:10" x14ac:dyDescent="0.25">
      <c r="B93" t="s">
        <v>35</v>
      </c>
      <c r="H93" s="3">
        <f>SUM(H86, H91)</f>
        <v>0</v>
      </c>
      <c r="I93" s="3">
        <f>SUM(I86, I91)</f>
        <v>64</v>
      </c>
      <c r="J93" s="3">
        <f>SUM(H93, I93)</f>
        <v>64</v>
      </c>
    </row>
    <row r="95" spans="1:10" x14ac:dyDescent="0.25">
      <c r="A95" s="7" t="s">
        <v>47</v>
      </c>
    </row>
    <row r="97" spans="1:10" x14ac:dyDescent="0.25">
      <c r="B97" t="s">
        <v>48</v>
      </c>
      <c r="H97" s="3">
        <v>0</v>
      </c>
      <c r="I97" s="18">
        <v>255</v>
      </c>
      <c r="J97" s="3">
        <f>SUM(H97, I97)</f>
        <v>255</v>
      </c>
    </row>
    <row r="98" spans="1:10" x14ac:dyDescent="0.25">
      <c r="H98" s="3"/>
      <c r="I98" s="3"/>
    </row>
    <row r="99" spans="1:10" x14ac:dyDescent="0.25">
      <c r="A99" s="7" t="s">
        <v>117</v>
      </c>
    </row>
    <row r="101" spans="1:10" x14ac:dyDescent="0.25">
      <c r="B101" t="s">
        <v>51</v>
      </c>
      <c r="H101" s="3">
        <f>SUM(H45, H64, H79, H93, H97)</f>
        <v>289.705645</v>
      </c>
      <c r="I101" s="3">
        <f>SUM(I45, I64, I79, I93, I97)</f>
        <v>450.53999999999996</v>
      </c>
      <c r="J101" s="3">
        <f>SUM(H101, I101)</f>
        <v>740.24564499999997</v>
      </c>
    </row>
    <row r="102" spans="1:10" x14ac:dyDescent="0.25">
      <c r="B102" t="s">
        <v>52</v>
      </c>
      <c r="H102" s="3">
        <f>H101/$I$5</f>
        <v>6.2571413606911452</v>
      </c>
      <c r="I102" s="3">
        <f>I101/$I$5</f>
        <v>9.7308855291576677</v>
      </c>
      <c r="J102" s="3">
        <f>SUM(H102, I102)</f>
        <v>15.988026889848813</v>
      </c>
    </row>
    <row r="104" spans="1:10" x14ac:dyDescent="0.25">
      <c r="A104" s="7" t="s">
        <v>118</v>
      </c>
    </row>
    <row r="106" spans="1:10" x14ac:dyDescent="0.25">
      <c r="B106" t="s">
        <v>51</v>
      </c>
      <c r="J106" s="3">
        <f>J12-H101</f>
        <v>265.05935499999998</v>
      </c>
    </row>
    <row r="107" spans="1:10" x14ac:dyDescent="0.25">
      <c r="B107" t="s">
        <v>52</v>
      </c>
      <c r="J107" s="3">
        <f>J106/$I$5</f>
        <v>5.7248240820734342</v>
      </c>
    </row>
    <row r="109" spans="1:10" x14ac:dyDescent="0.25">
      <c r="A109" s="7" t="s">
        <v>119</v>
      </c>
    </row>
    <row r="111" spans="1:10" x14ac:dyDescent="0.25">
      <c r="B111" t="s">
        <v>51</v>
      </c>
      <c r="J111" s="3">
        <f>J12-J101</f>
        <v>-185.48064499999998</v>
      </c>
    </row>
    <row r="112" spans="1:10" x14ac:dyDescent="0.25">
      <c r="B112" t="s">
        <v>52</v>
      </c>
      <c r="J112" s="3">
        <f>J111/$I$5</f>
        <v>-4.0060614470842335</v>
      </c>
    </row>
  </sheetData>
  <printOptions headings="1" gridLines="1"/>
  <pageMargins left="0.7" right="0.7" top="0.75" bottom="0.75" header="0.3" footer="0.3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Notes</vt:lpstr>
      <vt:lpstr>Summary</vt:lpstr>
      <vt:lpstr>Annual Returns</vt:lpstr>
      <vt:lpstr>NPV Analysis</vt:lpstr>
      <vt:lpstr>Production Plans</vt:lpstr>
      <vt:lpstr>Conventional Corn</vt:lpstr>
      <vt:lpstr>Conventional Soybeans</vt:lpstr>
      <vt:lpstr>Conventional Wheat</vt:lpstr>
      <vt:lpstr>Transition Soybeans</vt:lpstr>
      <vt:lpstr>Transition Wheat</vt:lpstr>
      <vt:lpstr>Organic Corn</vt:lpstr>
      <vt:lpstr>Organic Soybeans</vt:lpstr>
      <vt:lpstr>Organic Wheat</vt:lpstr>
      <vt:lpstr>Long-Run Projections</vt:lpstr>
      <vt:lpstr>Acreage Proportions</vt:lpstr>
      <vt:lpstr>Field Operations</vt:lpstr>
    </vt:vector>
  </TitlesOfParts>
  <Company>Argicultural Economics - Purdue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Network Supervisor</dc:creator>
  <cp:lastModifiedBy>Michael R Langemeier</cp:lastModifiedBy>
  <cp:lastPrinted>2024-04-23T18:08:04Z</cp:lastPrinted>
  <dcterms:created xsi:type="dcterms:W3CDTF">2018-11-05T23:22:10Z</dcterms:created>
  <dcterms:modified xsi:type="dcterms:W3CDTF">2026-05-29T13:59:11Z</dcterms:modified>
</cp:coreProperties>
</file>