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Organic Spreadsheets\"/>
    </mc:Choice>
  </mc:AlternateContent>
  <xr:revisionPtr revIDLastSave="0" documentId="13_ncr:1_{728FBBCC-A540-4629-BE4B-F7ADD2D6A436}" xr6:coauthVersionLast="47" xr6:coauthVersionMax="47" xr10:uidLastSave="{00000000-0000-0000-0000-000000000000}"/>
  <bookViews>
    <workbookView xWindow="3765" yWindow="1500" windowWidth="21600" windowHeight="11295" xr2:uid="{00000000-000D-0000-FFFF-FFFF00000000}"/>
  </bookViews>
  <sheets>
    <sheet name="Notes" sheetId="23" r:id="rId1"/>
    <sheet name="Summary" sheetId="5" r:id="rId2"/>
    <sheet name="Annual Returns" sheetId="4" r:id="rId3"/>
    <sheet name="NPV Analysis" sheetId="24" r:id="rId4"/>
    <sheet name="Production Plans" sheetId="2" r:id="rId5"/>
    <sheet name="Conventional Corn" sheetId="1" r:id="rId6"/>
    <sheet name="Conventional Soybeans" sheetId="15" r:id="rId7"/>
    <sheet name="Transition Oats" sheetId="20" r:id="rId8"/>
    <sheet name="Transition Alfalfa" sheetId="21" r:id="rId9"/>
    <sheet name="Organic Corn" sheetId="16" r:id="rId10"/>
    <sheet name="Organic Soybeans" sheetId="17" r:id="rId11"/>
    <sheet name="Organic Oats" sheetId="18" r:id="rId12"/>
    <sheet name="Organic Alfalfa" sheetId="19" r:id="rId13"/>
    <sheet name="Long-Run Projections" sheetId="3" r:id="rId14"/>
    <sheet name="Acreage Proportions" sheetId="12" r:id="rId15"/>
    <sheet name="Field Operations" sheetId="22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21" l="1"/>
  <c r="H54" i="21"/>
  <c r="I54" i="19"/>
  <c r="H54" i="19"/>
  <c r="I67" i="20" l="1"/>
  <c r="H67" i="20"/>
  <c r="I66" i="18"/>
  <c r="H66" i="18"/>
  <c r="I66" i="17" l="1"/>
  <c r="H66" i="17"/>
  <c r="I66" i="16"/>
  <c r="H66" i="16"/>
  <c r="B26" i="24" l="1"/>
  <c r="C34" i="24"/>
  <c r="C32" i="24"/>
  <c r="C31" i="24"/>
  <c r="C30" i="24"/>
  <c r="C29" i="24"/>
  <c r="C28" i="24"/>
  <c r="C12" i="24"/>
  <c r="C10" i="24"/>
  <c r="C9" i="24"/>
  <c r="C8" i="24"/>
  <c r="C7" i="24"/>
  <c r="C6" i="24"/>
  <c r="B4" i="24"/>
  <c r="J52" i="17" l="1"/>
  <c r="J51" i="17"/>
  <c r="J50" i="17"/>
  <c r="I45" i="17"/>
  <c r="H20" i="17"/>
  <c r="J20" i="17" s="1"/>
  <c r="J52" i="16"/>
  <c r="J51" i="16"/>
  <c r="J50" i="16"/>
  <c r="I43" i="16"/>
  <c r="I45" i="16" s="1"/>
  <c r="H20" i="16"/>
  <c r="J20" i="16" s="1"/>
  <c r="H65" i="19" l="1"/>
  <c r="I65" i="19"/>
  <c r="I79" i="18"/>
  <c r="H79" i="18"/>
  <c r="J43" i="20"/>
  <c r="I65" i="21"/>
  <c r="I70" i="21" s="1"/>
  <c r="H65" i="21"/>
  <c r="H70" i="21" s="1"/>
  <c r="I80" i="20"/>
  <c r="I70" i="19" l="1"/>
  <c r="H70" i="19"/>
  <c r="I87" i="18"/>
  <c r="I88" i="20"/>
  <c r="H80" i="20"/>
  <c r="I50" i="15" l="1"/>
  <c r="I50" i="1"/>
  <c r="O26" i="12" l="1"/>
  <c r="O24" i="12"/>
  <c r="O30" i="12"/>
  <c r="N24" i="12"/>
  <c r="N30" i="12"/>
  <c r="N28" i="12"/>
  <c r="M30" i="12"/>
  <c r="M28" i="12"/>
  <c r="M26" i="12"/>
  <c r="L30" i="12"/>
  <c r="L28" i="12"/>
  <c r="L26" i="12"/>
  <c r="L24" i="12"/>
  <c r="K28" i="12"/>
  <c r="K26" i="12"/>
  <c r="K24" i="12"/>
  <c r="K30" i="12"/>
  <c r="J26" i="12"/>
  <c r="J24" i="12"/>
  <c r="J30" i="12"/>
  <c r="J22" i="12"/>
  <c r="I24" i="12"/>
  <c r="I30" i="12"/>
  <c r="I22" i="12"/>
  <c r="I20" i="12"/>
  <c r="H30" i="12"/>
  <c r="H22" i="12"/>
  <c r="H20" i="12"/>
  <c r="G22" i="12"/>
  <c r="G20" i="12"/>
  <c r="F20" i="12"/>
  <c r="G84" i="3"/>
  <c r="G83" i="3"/>
  <c r="G42" i="3"/>
  <c r="G41" i="3"/>
  <c r="G27" i="3"/>
  <c r="G26" i="3"/>
  <c r="G25" i="3"/>
  <c r="G11" i="3"/>
  <c r="G10" i="3"/>
  <c r="H10" i="3" s="1"/>
  <c r="I10" i="3" s="1"/>
  <c r="J10" i="3" s="1"/>
  <c r="K10" i="3" s="1"/>
  <c r="L10" i="3" s="1"/>
  <c r="M10" i="3" s="1"/>
  <c r="N10" i="3" s="1"/>
  <c r="O10" i="3" s="1"/>
  <c r="P10" i="3" s="1"/>
  <c r="G9" i="3"/>
  <c r="J88" i="21"/>
  <c r="H84" i="21"/>
  <c r="I82" i="21"/>
  <c r="J82" i="21" s="1"/>
  <c r="I77" i="21"/>
  <c r="J77" i="21" s="1"/>
  <c r="J52" i="21"/>
  <c r="J51" i="21"/>
  <c r="J50" i="21"/>
  <c r="J49" i="21"/>
  <c r="J48" i="21"/>
  <c r="J47" i="21"/>
  <c r="J46" i="21"/>
  <c r="J45" i="21"/>
  <c r="J44" i="21"/>
  <c r="J43" i="21"/>
  <c r="J42" i="21"/>
  <c r="J41" i="21"/>
  <c r="I35" i="21"/>
  <c r="J32" i="21"/>
  <c r="J31" i="21"/>
  <c r="J30" i="21"/>
  <c r="J29" i="21"/>
  <c r="J28" i="21"/>
  <c r="J27" i="21"/>
  <c r="H25" i="21"/>
  <c r="J25" i="21" s="1"/>
  <c r="H20" i="21"/>
  <c r="J20" i="21" s="1"/>
  <c r="J7" i="21"/>
  <c r="J12" i="21" s="1"/>
  <c r="J106" i="20"/>
  <c r="H102" i="20"/>
  <c r="I100" i="20"/>
  <c r="J100" i="20" s="1"/>
  <c r="I95" i="20"/>
  <c r="J95" i="20" s="1"/>
  <c r="H83" i="20"/>
  <c r="J72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I48" i="20"/>
  <c r="J45" i="20"/>
  <c r="J44" i="20"/>
  <c r="J42" i="20"/>
  <c r="J41" i="20"/>
  <c r="J40" i="20"/>
  <c r="J39" i="20"/>
  <c r="H37" i="20"/>
  <c r="J37" i="20" s="1"/>
  <c r="H32" i="20"/>
  <c r="J32" i="20" s="1"/>
  <c r="H27" i="20"/>
  <c r="J27" i="20" s="1"/>
  <c r="H22" i="20"/>
  <c r="J22" i="20" s="1"/>
  <c r="J9" i="20"/>
  <c r="J14" i="20" s="1"/>
  <c r="G88" i="3"/>
  <c r="G87" i="3"/>
  <c r="G46" i="3"/>
  <c r="G45" i="3"/>
  <c r="G32" i="3"/>
  <c r="G31" i="3"/>
  <c r="G30" i="3"/>
  <c r="G16" i="3"/>
  <c r="G15" i="3"/>
  <c r="H15" i="3" s="1"/>
  <c r="I15" i="3" s="1"/>
  <c r="J15" i="3" s="1"/>
  <c r="K15" i="3" s="1"/>
  <c r="L15" i="3" s="1"/>
  <c r="M15" i="3" s="1"/>
  <c r="N15" i="3" s="1"/>
  <c r="O15" i="3" s="1"/>
  <c r="P15" i="3" s="1"/>
  <c r="G14" i="3"/>
  <c r="H46" i="20" l="1"/>
  <c r="J46" i="20" s="1"/>
  <c r="F77" i="4"/>
  <c r="J83" i="20"/>
  <c r="H88" i="20"/>
  <c r="J88" i="20" s="1"/>
  <c r="H33" i="21"/>
  <c r="J33" i="21" s="1"/>
  <c r="J54" i="21"/>
  <c r="J70" i="21"/>
  <c r="F37" i="4"/>
  <c r="J67" i="20"/>
  <c r="J40" i="21"/>
  <c r="I84" i="21"/>
  <c r="J80" i="20"/>
  <c r="I102" i="20"/>
  <c r="J102" i="20" s="1"/>
  <c r="J53" i="20"/>
  <c r="I110" i="20" l="1"/>
  <c r="G69" i="3" s="1"/>
  <c r="H35" i="21"/>
  <c r="H92" i="21" s="1"/>
  <c r="G56" i="3" s="1"/>
  <c r="H48" i="20"/>
  <c r="J48" i="20" s="1"/>
  <c r="I92" i="21"/>
  <c r="I93" i="21" s="1"/>
  <c r="J65" i="21"/>
  <c r="J84" i="21"/>
  <c r="I35" i="19"/>
  <c r="J7" i="19"/>
  <c r="J12" i="19" s="1"/>
  <c r="J88" i="19"/>
  <c r="H84" i="19"/>
  <c r="I82" i="19"/>
  <c r="J82" i="19" s="1"/>
  <c r="I77" i="19"/>
  <c r="J77" i="19" s="1"/>
  <c r="J52" i="19"/>
  <c r="J51" i="19"/>
  <c r="J50" i="19"/>
  <c r="J49" i="19"/>
  <c r="J48" i="19"/>
  <c r="J47" i="19"/>
  <c r="J46" i="19"/>
  <c r="J45" i="19"/>
  <c r="J44" i="19"/>
  <c r="J43" i="19"/>
  <c r="J42" i="19"/>
  <c r="J41" i="19"/>
  <c r="J32" i="19"/>
  <c r="J31" i="19"/>
  <c r="J30" i="19"/>
  <c r="J29" i="19"/>
  <c r="J28" i="19"/>
  <c r="J27" i="19"/>
  <c r="H25" i="19"/>
  <c r="J25" i="19" s="1"/>
  <c r="H20" i="19"/>
  <c r="J20" i="19" s="1"/>
  <c r="H110" i="20" l="1"/>
  <c r="G55" i="3" s="1"/>
  <c r="H93" i="21"/>
  <c r="J93" i="21" s="1"/>
  <c r="J35" i="21"/>
  <c r="J97" i="21"/>
  <c r="J98" i="21" s="1"/>
  <c r="G70" i="3"/>
  <c r="J92" i="21"/>
  <c r="J102" i="21" s="1"/>
  <c r="J103" i="21" s="1"/>
  <c r="H33" i="19"/>
  <c r="J33" i="19" s="1"/>
  <c r="J40" i="19"/>
  <c r="J70" i="19"/>
  <c r="J54" i="19"/>
  <c r="I84" i="19"/>
  <c r="J84" i="19" s="1"/>
  <c r="H27" i="18"/>
  <c r="J27" i="18" s="1"/>
  <c r="H22" i="18"/>
  <c r="J9" i="18"/>
  <c r="J14" i="18" s="1"/>
  <c r="J105" i="18"/>
  <c r="H101" i="18"/>
  <c r="I99" i="18"/>
  <c r="J99" i="18" s="1"/>
  <c r="I94" i="18"/>
  <c r="J94" i="18" s="1"/>
  <c r="H82" i="18"/>
  <c r="J71" i="18"/>
  <c r="J64" i="18"/>
  <c r="J63" i="18"/>
  <c r="J62" i="18"/>
  <c r="J61" i="18"/>
  <c r="J60" i="18"/>
  <c r="J59" i="18"/>
  <c r="J58" i="18"/>
  <c r="J57" i="18"/>
  <c r="J56" i="18"/>
  <c r="J55" i="18"/>
  <c r="J53" i="18"/>
  <c r="I47" i="18"/>
  <c r="J44" i="18"/>
  <c r="J43" i="18"/>
  <c r="J42" i="18"/>
  <c r="J41" i="18"/>
  <c r="J40" i="18"/>
  <c r="J39" i="18"/>
  <c r="H37" i="18"/>
  <c r="H32" i="18"/>
  <c r="J32" i="18" s="1"/>
  <c r="G86" i="3"/>
  <c r="G44" i="3"/>
  <c r="G29" i="3"/>
  <c r="G13" i="3"/>
  <c r="J99" i="17"/>
  <c r="H95" i="17"/>
  <c r="I93" i="17"/>
  <c r="J93" i="17" s="1"/>
  <c r="I88" i="17"/>
  <c r="J88" i="17" s="1"/>
  <c r="I81" i="17"/>
  <c r="H79" i="17"/>
  <c r="H74" i="17"/>
  <c r="J74" i="17" s="1"/>
  <c r="J71" i="17"/>
  <c r="J64" i="17"/>
  <c r="J63" i="17"/>
  <c r="J62" i="17"/>
  <c r="J61" i="17"/>
  <c r="J60" i="17"/>
  <c r="J59" i="17"/>
  <c r="J58" i="17"/>
  <c r="J57" i="17"/>
  <c r="J56" i="17"/>
  <c r="J55" i="17"/>
  <c r="J54" i="17"/>
  <c r="J53" i="17"/>
  <c r="J42" i="17"/>
  <c r="J41" i="17"/>
  <c r="J40" i="17"/>
  <c r="J39" i="17"/>
  <c r="J38" i="17"/>
  <c r="J37" i="17"/>
  <c r="H35" i="17"/>
  <c r="J35" i="17" s="1"/>
  <c r="H30" i="17"/>
  <c r="J30" i="17" s="1"/>
  <c r="H25" i="17"/>
  <c r="J7" i="17"/>
  <c r="J12" i="17" s="1"/>
  <c r="G85" i="3"/>
  <c r="G43" i="3"/>
  <c r="G28" i="3"/>
  <c r="G12" i="3"/>
  <c r="J110" i="20" l="1"/>
  <c r="J118" i="20" s="1"/>
  <c r="J114" i="20"/>
  <c r="H45" i="18"/>
  <c r="H47" i="18" s="1"/>
  <c r="H43" i="17"/>
  <c r="J43" i="17" s="1"/>
  <c r="H81" i="17"/>
  <c r="J82" i="18"/>
  <c r="H87" i="18"/>
  <c r="J37" i="18"/>
  <c r="H35" i="19"/>
  <c r="H92" i="19" s="1"/>
  <c r="I92" i="19"/>
  <c r="J65" i="19"/>
  <c r="J52" i="18"/>
  <c r="J79" i="18"/>
  <c r="J54" i="18"/>
  <c r="J22" i="18"/>
  <c r="I101" i="18"/>
  <c r="J101" i="18" s="1"/>
  <c r="J79" i="17"/>
  <c r="J81" i="17" s="1"/>
  <c r="I95" i="17"/>
  <c r="J95" i="17" s="1"/>
  <c r="J25" i="17"/>
  <c r="H45" i="17" l="1"/>
  <c r="J45" i="17" s="1"/>
  <c r="I103" i="17"/>
  <c r="I104" i="17" s="1"/>
  <c r="I93" i="19"/>
  <c r="G74" i="3"/>
  <c r="H93" i="19"/>
  <c r="G60" i="3"/>
  <c r="J35" i="19"/>
  <c r="J87" i="18"/>
  <c r="J92" i="19"/>
  <c r="J102" i="19" s="1"/>
  <c r="J103" i="19" s="1"/>
  <c r="J97" i="19"/>
  <c r="J98" i="19" s="1"/>
  <c r="J45" i="18"/>
  <c r="J66" i="18"/>
  <c r="I109" i="18"/>
  <c r="G73" i="3" s="1"/>
  <c r="H109" i="18"/>
  <c r="G59" i="3" s="1"/>
  <c r="J47" i="18"/>
  <c r="J66" i="17"/>
  <c r="J98" i="16"/>
  <c r="H94" i="16"/>
  <c r="I92" i="16"/>
  <c r="I87" i="16"/>
  <c r="J87" i="16" s="1"/>
  <c r="I80" i="16"/>
  <c r="H78" i="16"/>
  <c r="H73" i="16"/>
  <c r="J73" i="16" s="1"/>
  <c r="J71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42" i="16"/>
  <c r="J41" i="16"/>
  <c r="J40" i="16"/>
  <c r="J39" i="16"/>
  <c r="J38" i="16"/>
  <c r="J37" i="16"/>
  <c r="H35" i="16"/>
  <c r="J35" i="16" s="1"/>
  <c r="H30" i="16"/>
  <c r="J30" i="16" s="1"/>
  <c r="H25" i="16"/>
  <c r="H43" i="16" s="1"/>
  <c r="J7" i="16"/>
  <c r="J12" i="16" s="1"/>
  <c r="G82" i="3"/>
  <c r="G24" i="3"/>
  <c r="G8" i="3"/>
  <c r="G40" i="3"/>
  <c r="G39" i="3"/>
  <c r="H103" i="17" l="1"/>
  <c r="G58" i="3" s="1"/>
  <c r="G72" i="3"/>
  <c r="H45" i="16"/>
  <c r="J45" i="16" s="1"/>
  <c r="J93" i="19"/>
  <c r="J109" i="18"/>
  <c r="J117" i="18" s="1"/>
  <c r="J113" i="18"/>
  <c r="H80" i="16"/>
  <c r="J66" i="16"/>
  <c r="I94" i="16"/>
  <c r="J94" i="16" s="1"/>
  <c r="J78" i="16"/>
  <c r="J80" i="16" s="1"/>
  <c r="J25" i="16"/>
  <c r="J92" i="16"/>
  <c r="J101" i="15"/>
  <c r="H97" i="15"/>
  <c r="I95" i="15"/>
  <c r="J95" i="15" s="1"/>
  <c r="I90" i="15"/>
  <c r="J90" i="15" s="1"/>
  <c r="I83" i="15"/>
  <c r="H81" i="15"/>
  <c r="J81" i="15" s="1"/>
  <c r="H76" i="15"/>
  <c r="J76" i="15" s="1"/>
  <c r="J74" i="15"/>
  <c r="I69" i="15"/>
  <c r="H69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47" i="15"/>
  <c r="J46" i="15"/>
  <c r="J45" i="15"/>
  <c r="J44" i="15"/>
  <c r="J43" i="15"/>
  <c r="J42" i="15"/>
  <c r="H40" i="15"/>
  <c r="J40" i="15" s="1"/>
  <c r="H35" i="15"/>
  <c r="J35" i="15" s="1"/>
  <c r="H30" i="15"/>
  <c r="J30" i="15" s="1"/>
  <c r="H25" i="15"/>
  <c r="J25" i="15" s="1"/>
  <c r="H20" i="15"/>
  <c r="J7" i="15"/>
  <c r="J12" i="15" s="1"/>
  <c r="I97" i="15" l="1"/>
  <c r="J103" i="17"/>
  <c r="J113" i="17" s="1"/>
  <c r="J114" i="17" s="1"/>
  <c r="J108" i="17"/>
  <c r="J109" i="17" s="1"/>
  <c r="H104" i="17"/>
  <c r="J104" i="17" s="1"/>
  <c r="J97" i="15"/>
  <c r="J20" i="15"/>
  <c r="H83" i="15"/>
  <c r="H48" i="15"/>
  <c r="H50" i="15" s="1"/>
  <c r="J43" i="16"/>
  <c r="I102" i="16"/>
  <c r="I105" i="15"/>
  <c r="I106" i="15" s="1"/>
  <c r="J69" i="15"/>
  <c r="J83" i="15"/>
  <c r="G68" i="3" l="1"/>
  <c r="J48" i="15"/>
  <c r="I103" i="16"/>
  <c r="G71" i="3"/>
  <c r="H102" i="16"/>
  <c r="H105" i="15"/>
  <c r="J50" i="15"/>
  <c r="G54" i="3" l="1"/>
  <c r="H106" i="15"/>
  <c r="J106" i="15" s="1"/>
  <c r="J102" i="16"/>
  <c r="J112" i="16" s="1"/>
  <c r="J113" i="16" s="1"/>
  <c r="G57" i="3"/>
  <c r="J107" i="16"/>
  <c r="J108" i="16" s="1"/>
  <c r="H103" i="16"/>
  <c r="J103" i="16" s="1"/>
  <c r="J105" i="15"/>
  <c r="J115" i="15" s="1"/>
  <c r="J116" i="15" s="1"/>
  <c r="J110" i="15"/>
  <c r="J111" i="15" s="1"/>
  <c r="J47" i="1" l="1"/>
  <c r="I83" i="1" l="1"/>
  <c r="H81" i="1"/>
  <c r="H76" i="1"/>
  <c r="J76" i="1" s="1"/>
  <c r="J74" i="1"/>
  <c r="H40" i="1"/>
  <c r="J40" i="1" s="1"/>
  <c r="H83" i="1" l="1"/>
  <c r="H84" i="3"/>
  <c r="I84" i="3" s="1"/>
  <c r="J84" i="3" s="1"/>
  <c r="K84" i="3" s="1"/>
  <c r="L84" i="3" s="1"/>
  <c r="M84" i="3" s="1"/>
  <c r="N84" i="3" s="1"/>
  <c r="O84" i="3" s="1"/>
  <c r="P84" i="3" s="1"/>
  <c r="H83" i="3"/>
  <c r="I83" i="3" s="1"/>
  <c r="J83" i="3" s="1"/>
  <c r="K83" i="3" s="1"/>
  <c r="L83" i="3" s="1"/>
  <c r="M83" i="3" s="1"/>
  <c r="N83" i="3" s="1"/>
  <c r="O83" i="3" s="1"/>
  <c r="P83" i="3" s="1"/>
  <c r="Q22" i="12"/>
  <c r="I25" i="5" s="1"/>
  <c r="Q20" i="12"/>
  <c r="H25" i="5" s="1"/>
  <c r="H11" i="3" l="1"/>
  <c r="F47" i="4"/>
  <c r="H9" i="3"/>
  <c r="G37" i="4" s="1"/>
  <c r="J32" i="12"/>
  <c r="I32" i="12"/>
  <c r="H16" i="12"/>
  <c r="H32" i="12" s="1"/>
  <c r="G18" i="12"/>
  <c r="G16" i="12"/>
  <c r="F18" i="12"/>
  <c r="F16" i="12"/>
  <c r="F32" i="12" s="1"/>
  <c r="O7" i="12"/>
  <c r="N7" i="12"/>
  <c r="M7" i="12"/>
  <c r="L7" i="12"/>
  <c r="K7" i="12"/>
  <c r="J7" i="12"/>
  <c r="I7" i="12"/>
  <c r="H7" i="12"/>
  <c r="G7" i="12"/>
  <c r="F7" i="12"/>
  <c r="O5" i="12"/>
  <c r="N5" i="12"/>
  <c r="M5" i="12"/>
  <c r="L5" i="12"/>
  <c r="K5" i="12"/>
  <c r="J5" i="12"/>
  <c r="I5" i="12"/>
  <c r="H5" i="12"/>
  <c r="G5" i="12"/>
  <c r="F5" i="12"/>
  <c r="H88" i="3"/>
  <c r="I88" i="3" s="1"/>
  <c r="J88" i="3" s="1"/>
  <c r="K88" i="3" s="1"/>
  <c r="L88" i="3" s="1"/>
  <c r="M88" i="3" s="1"/>
  <c r="N88" i="3" s="1"/>
  <c r="O88" i="3" s="1"/>
  <c r="P88" i="3" s="1"/>
  <c r="H87" i="3"/>
  <c r="I87" i="3" s="1"/>
  <c r="J87" i="3" s="1"/>
  <c r="K87" i="3" s="1"/>
  <c r="L87" i="3" s="1"/>
  <c r="M87" i="3" s="1"/>
  <c r="N87" i="3" s="1"/>
  <c r="O87" i="3" s="1"/>
  <c r="P87" i="3" s="1"/>
  <c r="H86" i="3"/>
  <c r="I86" i="3" s="1"/>
  <c r="J86" i="3" s="1"/>
  <c r="K86" i="3" s="1"/>
  <c r="L86" i="3" s="1"/>
  <c r="M86" i="3" s="1"/>
  <c r="N86" i="3" s="1"/>
  <c r="O86" i="3" s="1"/>
  <c r="P86" i="3" s="1"/>
  <c r="H85" i="3"/>
  <c r="I85" i="3" s="1"/>
  <c r="J85" i="3" s="1"/>
  <c r="K85" i="3" s="1"/>
  <c r="L85" i="3" s="1"/>
  <c r="M85" i="3" s="1"/>
  <c r="N85" i="3" s="1"/>
  <c r="O85" i="3" s="1"/>
  <c r="P85" i="3" s="1"/>
  <c r="H82" i="3"/>
  <c r="I82" i="3" s="1"/>
  <c r="J82" i="3" s="1"/>
  <c r="K82" i="3" s="1"/>
  <c r="L82" i="3" s="1"/>
  <c r="M82" i="3" s="1"/>
  <c r="N82" i="3" s="1"/>
  <c r="O82" i="3" s="1"/>
  <c r="P82" i="3" s="1"/>
  <c r="G81" i="3"/>
  <c r="H81" i="3" s="1"/>
  <c r="I81" i="3" s="1"/>
  <c r="J81" i="3" s="1"/>
  <c r="K81" i="3" s="1"/>
  <c r="L81" i="3" s="1"/>
  <c r="M81" i="3" s="1"/>
  <c r="N81" i="3" s="1"/>
  <c r="O81" i="3" s="1"/>
  <c r="P81" i="3" s="1"/>
  <c r="F9" i="12" l="1"/>
  <c r="I9" i="3"/>
  <c r="H37" i="4" s="1"/>
  <c r="I11" i="3"/>
  <c r="G47" i="4"/>
  <c r="G32" i="12"/>
  <c r="K32" i="12"/>
  <c r="N32" i="12"/>
  <c r="I9" i="12"/>
  <c r="M9" i="12"/>
  <c r="G9" i="12"/>
  <c r="K9" i="12"/>
  <c r="O9" i="12"/>
  <c r="J9" i="12"/>
  <c r="N9" i="12"/>
  <c r="H9" i="12"/>
  <c r="L9" i="12"/>
  <c r="Q18" i="12"/>
  <c r="G25" i="5" s="1"/>
  <c r="O32" i="12"/>
  <c r="M32" i="12"/>
  <c r="L32" i="12"/>
  <c r="Q24" i="12"/>
  <c r="J25" i="5" s="1"/>
  <c r="Q30" i="12"/>
  <c r="M25" i="5" s="1"/>
  <c r="Q26" i="12"/>
  <c r="K25" i="5" s="1"/>
  <c r="Q28" i="12"/>
  <c r="L25" i="5" s="1"/>
  <c r="Q16" i="12"/>
  <c r="F25" i="5" s="1"/>
  <c r="Q7" i="12"/>
  <c r="G13" i="5" s="1"/>
  <c r="Q5" i="12"/>
  <c r="F13" i="5" s="1"/>
  <c r="H13" i="3"/>
  <c r="G67" i="4" s="1"/>
  <c r="H12" i="3"/>
  <c r="G57" i="4" s="1"/>
  <c r="Q9" i="12" l="1"/>
  <c r="H55" i="3"/>
  <c r="F38" i="4"/>
  <c r="J11" i="3"/>
  <c r="H47" i="4"/>
  <c r="J9" i="3"/>
  <c r="I37" i="4" s="1"/>
  <c r="F70" i="4"/>
  <c r="H69" i="3"/>
  <c r="F40" i="4"/>
  <c r="H56" i="3"/>
  <c r="F48" i="4"/>
  <c r="F87" i="4"/>
  <c r="H13" i="5"/>
  <c r="N25" i="5"/>
  <c r="Q32" i="12"/>
  <c r="F57" i="4"/>
  <c r="F90" i="4"/>
  <c r="H16" i="3"/>
  <c r="G87" i="4" s="1"/>
  <c r="I12" i="3"/>
  <c r="H14" i="3"/>
  <c r="G77" i="4" s="1"/>
  <c r="I13" i="3"/>
  <c r="F67" i="4"/>
  <c r="F80" i="4"/>
  <c r="I69" i="1"/>
  <c r="J67" i="1"/>
  <c r="J66" i="1"/>
  <c r="J65" i="1"/>
  <c r="H69" i="1"/>
  <c r="I16" i="3" l="1"/>
  <c r="J16" i="3" s="1"/>
  <c r="F49" i="4"/>
  <c r="I69" i="3"/>
  <c r="G40" i="4"/>
  <c r="F39" i="4"/>
  <c r="K11" i="3"/>
  <c r="I47" i="4"/>
  <c r="I55" i="3"/>
  <c r="G38" i="4"/>
  <c r="G39" i="4" s="1"/>
  <c r="I56" i="3"/>
  <c r="G48" i="4"/>
  <c r="G49" i="4" s="1"/>
  <c r="H70" i="3"/>
  <c r="F50" i="4"/>
  <c r="K9" i="3"/>
  <c r="J37" i="4" s="1"/>
  <c r="F78" i="4"/>
  <c r="F79" i="4" s="1"/>
  <c r="H59" i="3"/>
  <c r="H60" i="3"/>
  <c r="F88" i="4"/>
  <c r="J12" i="3"/>
  <c r="H57" i="4"/>
  <c r="I14" i="3"/>
  <c r="H77" i="4" s="1"/>
  <c r="J13" i="3"/>
  <c r="H67" i="4"/>
  <c r="F17" i="4"/>
  <c r="H8" i="3"/>
  <c r="G23" i="3"/>
  <c r="G7" i="3"/>
  <c r="H7" i="3" s="1"/>
  <c r="H87" i="4" l="1"/>
  <c r="J69" i="3"/>
  <c r="H40" i="4"/>
  <c r="I70" i="3"/>
  <c r="G50" i="4"/>
  <c r="F60" i="4"/>
  <c r="L11" i="3"/>
  <c r="J47" i="4"/>
  <c r="J56" i="3"/>
  <c r="H48" i="4"/>
  <c r="H49" i="4" s="1"/>
  <c r="L9" i="3"/>
  <c r="K37" i="4" s="1"/>
  <c r="G41" i="4"/>
  <c r="G43" i="4" s="1"/>
  <c r="F41" i="4"/>
  <c r="F51" i="4"/>
  <c r="F20" i="4"/>
  <c r="J55" i="3"/>
  <c r="H38" i="4"/>
  <c r="K12" i="3"/>
  <c r="I57" i="4"/>
  <c r="G88" i="4"/>
  <c r="G89" i="4" s="1"/>
  <c r="I60" i="3"/>
  <c r="H73" i="3"/>
  <c r="G80" i="4" s="1"/>
  <c r="F89" i="4"/>
  <c r="H74" i="3"/>
  <c r="G90" i="4" s="1"/>
  <c r="K13" i="3"/>
  <c r="I67" i="4"/>
  <c r="J14" i="3"/>
  <c r="I77" i="4" s="1"/>
  <c r="F68" i="4"/>
  <c r="H58" i="3"/>
  <c r="H72" i="3"/>
  <c r="G70" i="4" s="1"/>
  <c r="G78" i="4"/>
  <c r="G79" i="4" s="1"/>
  <c r="I59" i="3"/>
  <c r="K16" i="3"/>
  <c r="I87" i="4"/>
  <c r="G17" i="4"/>
  <c r="I8" i="3"/>
  <c r="F7" i="4"/>
  <c r="F97" i="4" s="1"/>
  <c r="H28" i="24" s="1"/>
  <c r="H36" i="24" s="1"/>
  <c r="I7" i="3"/>
  <c r="G7" i="4"/>
  <c r="J64" i="1"/>
  <c r="J69" i="1"/>
  <c r="J63" i="1"/>
  <c r="H97" i="1"/>
  <c r="I95" i="1"/>
  <c r="J95" i="1" s="1"/>
  <c r="I90" i="1"/>
  <c r="J90" i="1" s="1"/>
  <c r="J81" i="1"/>
  <c r="J83" i="1" s="1"/>
  <c r="J101" i="1"/>
  <c r="I97" i="4" l="1"/>
  <c r="K28" i="24" s="1"/>
  <c r="G27" i="4"/>
  <c r="I6" i="24" s="1"/>
  <c r="I14" i="24" s="1"/>
  <c r="G97" i="4"/>
  <c r="I28" i="24" s="1"/>
  <c r="I36" i="24" s="1"/>
  <c r="M9" i="3"/>
  <c r="L37" i="4" s="1"/>
  <c r="J70" i="3"/>
  <c r="H50" i="4"/>
  <c r="H51" i="4" s="1"/>
  <c r="H53" i="4" s="1"/>
  <c r="H39" i="4"/>
  <c r="K55" i="3"/>
  <c r="I38" i="4"/>
  <c r="F43" i="4"/>
  <c r="G51" i="4"/>
  <c r="G53" i="4" s="1"/>
  <c r="K69" i="3"/>
  <c r="I40" i="4"/>
  <c r="F53" i="4"/>
  <c r="M11" i="3"/>
  <c r="K47" i="4"/>
  <c r="K56" i="3"/>
  <c r="I48" i="4"/>
  <c r="L13" i="3"/>
  <c r="J67" i="4"/>
  <c r="G68" i="4"/>
  <c r="G69" i="4" s="1"/>
  <c r="I58" i="3"/>
  <c r="F69" i="4"/>
  <c r="H88" i="4"/>
  <c r="J60" i="3"/>
  <c r="F27" i="4"/>
  <c r="H6" i="24" s="1"/>
  <c r="G91" i="4"/>
  <c r="G93" i="4" s="1"/>
  <c r="I74" i="3"/>
  <c r="H90" i="4" s="1"/>
  <c r="G81" i="4"/>
  <c r="G83" i="4" s="1"/>
  <c r="I73" i="3"/>
  <c r="H80" i="4" s="1"/>
  <c r="J57" i="4"/>
  <c r="L12" i="3"/>
  <c r="I97" i="1"/>
  <c r="F58" i="4"/>
  <c r="H57" i="3"/>
  <c r="J59" i="3"/>
  <c r="H78" i="4"/>
  <c r="H79" i="4" s="1"/>
  <c r="F91" i="4"/>
  <c r="F93" i="4" s="1"/>
  <c r="I72" i="3"/>
  <c r="H70" i="4" s="1"/>
  <c r="H71" i="3"/>
  <c r="G60" i="4" s="1"/>
  <c r="K14" i="3"/>
  <c r="J77" i="4" s="1"/>
  <c r="F81" i="4"/>
  <c r="F83" i="4" s="1"/>
  <c r="L16" i="3"/>
  <c r="J87" i="4"/>
  <c r="F18" i="4"/>
  <c r="F19" i="4" s="1"/>
  <c r="H54" i="3"/>
  <c r="J8" i="3"/>
  <c r="H17" i="4"/>
  <c r="J7" i="3"/>
  <c r="H7" i="4"/>
  <c r="H97" i="4" s="1"/>
  <c r="J28" i="24" s="1"/>
  <c r="J36" i="24" s="1"/>
  <c r="J62" i="1"/>
  <c r="J61" i="1"/>
  <c r="J60" i="1"/>
  <c r="J59" i="1"/>
  <c r="J58" i="1"/>
  <c r="J57" i="1"/>
  <c r="J56" i="1"/>
  <c r="J55" i="1"/>
  <c r="J46" i="1"/>
  <c r="J45" i="1"/>
  <c r="J44" i="1"/>
  <c r="J43" i="1"/>
  <c r="J42" i="1"/>
  <c r="H35" i="1"/>
  <c r="J35" i="1" s="1"/>
  <c r="H30" i="1"/>
  <c r="J30" i="1" s="1"/>
  <c r="H25" i="1"/>
  <c r="H14" i="24" l="1"/>
  <c r="K36" i="24"/>
  <c r="J97" i="1"/>
  <c r="I105" i="1"/>
  <c r="I106" i="1" s="1"/>
  <c r="J97" i="4"/>
  <c r="L28" i="24" s="1"/>
  <c r="L36" i="24" s="1"/>
  <c r="J25" i="1"/>
  <c r="H41" i="4"/>
  <c r="I49" i="4"/>
  <c r="N11" i="3"/>
  <c r="L47" i="4"/>
  <c r="I39" i="4"/>
  <c r="L69" i="3"/>
  <c r="J40" i="4"/>
  <c r="L55" i="3"/>
  <c r="J38" i="4"/>
  <c r="N9" i="3"/>
  <c r="M37" i="4" s="1"/>
  <c r="L56" i="3"/>
  <c r="J48" i="4"/>
  <c r="K70" i="3"/>
  <c r="I50" i="4"/>
  <c r="G71" i="4"/>
  <c r="G73" i="4" s="1"/>
  <c r="I71" i="3"/>
  <c r="H60" i="4" s="1"/>
  <c r="J73" i="3"/>
  <c r="I80" i="4" s="1"/>
  <c r="J58" i="3"/>
  <c r="H68" i="4"/>
  <c r="K67" i="4"/>
  <c r="M13" i="3"/>
  <c r="K59" i="3"/>
  <c r="I78" i="4"/>
  <c r="I79" i="4" s="1"/>
  <c r="G58" i="4"/>
  <c r="G59" i="4" s="1"/>
  <c r="I57" i="3"/>
  <c r="J74" i="3"/>
  <c r="I90" i="4" s="1"/>
  <c r="H89" i="4"/>
  <c r="L14" i="3"/>
  <c r="K77" i="4" s="1"/>
  <c r="J72" i="3"/>
  <c r="I70" i="4" s="1"/>
  <c r="K60" i="3"/>
  <c r="I88" i="4"/>
  <c r="I89" i="4" s="1"/>
  <c r="F59" i="4"/>
  <c r="F71" i="4"/>
  <c r="F73" i="4" s="1"/>
  <c r="M12" i="3"/>
  <c r="K57" i="4"/>
  <c r="K87" i="4"/>
  <c r="M16" i="3"/>
  <c r="F21" i="4"/>
  <c r="F23" i="4" s="1"/>
  <c r="H68" i="3"/>
  <c r="G20" i="4" s="1"/>
  <c r="G18" i="4"/>
  <c r="I54" i="3"/>
  <c r="H27" i="4"/>
  <c r="J6" i="24" s="1"/>
  <c r="J14" i="24" s="1"/>
  <c r="K8" i="3"/>
  <c r="I17" i="4"/>
  <c r="K7" i="3"/>
  <c r="I7" i="4"/>
  <c r="H20" i="1"/>
  <c r="H48" i="1" s="1"/>
  <c r="J48" i="1" s="1"/>
  <c r="J7" i="1"/>
  <c r="J12" i="1" s="1"/>
  <c r="H50" i="1" l="1"/>
  <c r="K97" i="4"/>
  <c r="M28" i="24" s="1"/>
  <c r="M36" i="24" s="1"/>
  <c r="G67" i="3"/>
  <c r="F10" i="4" s="1"/>
  <c r="F100" i="4" s="1"/>
  <c r="H31" i="24" s="1"/>
  <c r="M56" i="3"/>
  <c r="K48" i="4"/>
  <c r="K49" i="4" s="1"/>
  <c r="I41" i="4"/>
  <c r="J39" i="4"/>
  <c r="M55" i="3"/>
  <c r="K38" i="4"/>
  <c r="O11" i="3"/>
  <c r="M47" i="4"/>
  <c r="H43" i="4"/>
  <c r="J49" i="4"/>
  <c r="L70" i="3"/>
  <c r="J50" i="4"/>
  <c r="O9" i="3"/>
  <c r="N37" i="4" s="1"/>
  <c r="M69" i="3"/>
  <c r="K40" i="4"/>
  <c r="I51" i="4"/>
  <c r="G61" i="4"/>
  <c r="G63" i="4" s="1"/>
  <c r="M14" i="3"/>
  <c r="L77" i="4" s="1"/>
  <c r="K74" i="3"/>
  <c r="J90" i="4" s="1"/>
  <c r="N12" i="3"/>
  <c r="L57" i="4"/>
  <c r="N13" i="3"/>
  <c r="L67" i="4"/>
  <c r="L60" i="3"/>
  <c r="J88" i="4"/>
  <c r="J57" i="3"/>
  <c r="H58" i="4"/>
  <c r="H69" i="4"/>
  <c r="J71" i="3"/>
  <c r="I60" i="4" s="1"/>
  <c r="I100" i="4" s="1"/>
  <c r="K31" i="24" s="1"/>
  <c r="K39" i="24" s="1"/>
  <c r="K72" i="3"/>
  <c r="J70" i="4" s="1"/>
  <c r="H91" i="4"/>
  <c r="H93" i="4" s="1"/>
  <c r="I68" i="4"/>
  <c r="K58" i="3"/>
  <c r="L59" i="3"/>
  <c r="J78" i="4"/>
  <c r="J79" i="4" s="1"/>
  <c r="G19" i="4"/>
  <c r="F61" i="4"/>
  <c r="F63" i="4" s="1"/>
  <c r="H81" i="4"/>
  <c r="H83" i="4" s="1"/>
  <c r="K73" i="3"/>
  <c r="J80" i="4" s="1"/>
  <c r="N16" i="3"/>
  <c r="L87" i="4"/>
  <c r="I68" i="3"/>
  <c r="H20" i="4" s="1"/>
  <c r="H18" i="4"/>
  <c r="H19" i="4" s="1"/>
  <c r="J54" i="3"/>
  <c r="I27" i="4"/>
  <c r="K6" i="24" s="1"/>
  <c r="K14" i="24" s="1"/>
  <c r="L8" i="3"/>
  <c r="J17" i="4"/>
  <c r="L7" i="3"/>
  <c r="J7" i="4"/>
  <c r="J20" i="1"/>
  <c r="H39" i="24" l="1"/>
  <c r="L97" i="4"/>
  <c r="N28" i="24" s="1"/>
  <c r="N36" i="24" s="1"/>
  <c r="H67" i="3"/>
  <c r="I67" i="3" s="1"/>
  <c r="J67" i="3" s="1"/>
  <c r="M70" i="3"/>
  <c r="K50" i="4"/>
  <c r="K51" i="4" s="1"/>
  <c r="K53" i="4" s="1"/>
  <c r="P11" i="3"/>
  <c r="O47" i="4" s="1"/>
  <c r="N47" i="4"/>
  <c r="N69" i="3"/>
  <c r="L40" i="4"/>
  <c r="K39" i="4"/>
  <c r="K41" i="4" s="1"/>
  <c r="K43" i="4" s="1"/>
  <c r="J51" i="4"/>
  <c r="P9" i="3"/>
  <c r="O37" i="4" s="1"/>
  <c r="I53" i="4"/>
  <c r="J41" i="4"/>
  <c r="J43" i="4" s="1"/>
  <c r="N56" i="3"/>
  <c r="L48" i="4"/>
  <c r="N55" i="3"/>
  <c r="L38" i="4"/>
  <c r="L39" i="4" s="1"/>
  <c r="I43" i="4"/>
  <c r="L73" i="3"/>
  <c r="K80" i="4" s="1"/>
  <c r="H59" i="4"/>
  <c r="L74" i="3"/>
  <c r="K90" i="4" s="1"/>
  <c r="L58" i="3"/>
  <c r="J68" i="4"/>
  <c r="J69" i="4" s="1"/>
  <c r="I69" i="4"/>
  <c r="I71" i="4" s="1"/>
  <c r="I73" i="4" s="1"/>
  <c r="K71" i="3"/>
  <c r="J60" i="4" s="1"/>
  <c r="J100" i="4" s="1"/>
  <c r="L31" i="24" s="1"/>
  <c r="L39" i="24" s="1"/>
  <c r="O12" i="3"/>
  <c r="M57" i="4"/>
  <c r="I58" i="4"/>
  <c r="I98" i="4" s="1"/>
  <c r="K29" i="24" s="1"/>
  <c r="K37" i="24" s="1"/>
  <c r="K57" i="3"/>
  <c r="K78" i="4"/>
  <c r="K79" i="4" s="1"/>
  <c r="M59" i="3"/>
  <c r="I91" i="4"/>
  <c r="I93" i="4" s="1"/>
  <c r="O13" i="3"/>
  <c r="M67" i="4"/>
  <c r="G21" i="4"/>
  <c r="H71" i="4"/>
  <c r="H73" i="4" s="1"/>
  <c r="J89" i="4"/>
  <c r="N14" i="3"/>
  <c r="M77" i="4" s="1"/>
  <c r="F30" i="4"/>
  <c r="H9" i="24" s="1"/>
  <c r="L72" i="3"/>
  <c r="K70" i="4" s="1"/>
  <c r="M60" i="3"/>
  <c r="K88" i="4"/>
  <c r="I81" i="4"/>
  <c r="I83" i="4" s="1"/>
  <c r="O16" i="3"/>
  <c r="M87" i="4"/>
  <c r="J68" i="3"/>
  <c r="I20" i="4" s="1"/>
  <c r="H21" i="4"/>
  <c r="H23" i="4" s="1"/>
  <c r="I18" i="4"/>
  <c r="I19" i="4" s="1"/>
  <c r="K54" i="3"/>
  <c r="M8" i="3"/>
  <c r="K17" i="4"/>
  <c r="J27" i="4"/>
  <c r="L6" i="24" s="1"/>
  <c r="L14" i="24" s="1"/>
  <c r="M7" i="3"/>
  <c r="K7" i="4"/>
  <c r="J50" i="1"/>
  <c r="H105" i="1"/>
  <c r="H106" i="1" s="1"/>
  <c r="R47" i="4" l="1"/>
  <c r="H17" i="24"/>
  <c r="M97" i="4"/>
  <c r="O28" i="24" s="1"/>
  <c r="O36" i="24" s="1"/>
  <c r="R37" i="4"/>
  <c r="L41" i="4"/>
  <c r="L43" i="4" s="1"/>
  <c r="H10" i="4"/>
  <c r="H100" i="4" s="1"/>
  <c r="J31" i="24" s="1"/>
  <c r="J39" i="24" s="1"/>
  <c r="G10" i="4"/>
  <c r="G100" i="4" s="1"/>
  <c r="I31" i="24" s="1"/>
  <c r="J53" i="4"/>
  <c r="Q47" i="4"/>
  <c r="I19" i="5" s="1"/>
  <c r="Q37" i="4"/>
  <c r="H19" i="5" s="1"/>
  <c r="O55" i="3"/>
  <c r="M38" i="4"/>
  <c r="O69" i="3"/>
  <c r="M40" i="4"/>
  <c r="N70" i="3"/>
  <c r="L50" i="4"/>
  <c r="G23" i="4"/>
  <c r="L49" i="4"/>
  <c r="O56" i="3"/>
  <c r="M48" i="4"/>
  <c r="M49" i="4" s="1"/>
  <c r="K67" i="3"/>
  <c r="I10" i="4"/>
  <c r="K27" i="4"/>
  <c r="M6" i="24" s="1"/>
  <c r="M14" i="24" s="1"/>
  <c r="M73" i="3"/>
  <c r="L80" i="4" s="1"/>
  <c r="K89" i="4"/>
  <c r="O14" i="3"/>
  <c r="N77" i="4" s="1"/>
  <c r="N59" i="3"/>
  <c r="L78" i="4"/>
  <c r="N57" i="4"/>
  <c r="P12" i="3"/>
  <c r="O57" i="4" s="1"/>
  <c r="J71" i="4"/>
  <c r="J73" i="4" s="1"/>
  <c r="H61" i="4"/>
  <c r="H63" i="4" s="1"/>
  <c r="L88" i="4"/>
  <c r="L89" i="4" s="1"/>
  <c r="N60" i="3"/>
  <c r="M72" i="3"/>
  <c r="L70" i="4" s="1"/>
  <c r="J91" i="4"/>
  <c r="J93" i="4" s="1"/>
  <c r="P13" i="3"/>
  <c r="O67" i="4" s="1"/>
  <c r="N67" i="4"/>
  <c r="L71" i="3"/>
  <c r="K60" i="4" s="1"/>
  <c r="K100" i="4" s="1"/>
  <c r="M31" i="24" s="1"/>
  <c r="M39" i="24" s="1"/>
  <c r="M58" i="3"/>
  <c r="K68" i="4"/>
  <c r="J81" i="4"/>
  <c r="J83" i="4" s="1"/>
  <c r="L57" i="3"/>
  <c r="J58" i="4"/>
  <c r="J98" i="4" s="1"/>
  <c r="L29" i="24" s="1"/>
  <c r="L37" i="24" s="1"/>
  <c r="I59" i="4"/>
  <c r="I99" i="4" s="1"/>
  <c r="K30" i="24" s="1"/>
  <c r="M74" i="3"/>
  <c r="L90" i="4" s="1"/>
  <c r="P16" i="3"/>
  <c r="O87" i="4" s="1"/>
  <c r="N87" i="4"/>
  <c r="K68" i="3"/>
  <c r="J20" i="4" s="1"/>
  <c r="I21" i="4"/>
  <c r="I23" i="4" s="1"/>
  <c r="L54" i="3"/>
  <c r="J18" i="4"/>
  <c r="J19" i="4" s="1"/>
  <c r="N8" i="3"/>
  <c r="L17" i="4"/>
  <c r="N7" i="3"/>
  <c r="L7" i="4"/>
  <c r="G53" i="3"/>
  <c r="J106" i="1"/>
  <c r="J105" i="1"/>
  <c r="J115" i="1" s="1"/>
  <c r="J116" i="1" s="1"/>
  <c r="J110" i="1"/>
  <c r="J111" i="1" s="1"/>
  <c r="I39" i="24" l="1"/>
  <c r="K38" i="24"/>
  <c r="O97" i="4"/>
  <c r="Q28" i="24" s="1"/>
  <c r="Q36" i="24" s="1"/>
  <c r="N97" i="4"/>
  <c r="P28" i="24" s="1"/>
  <c r="G30" i="4"/>
  <c r="I9" i="24" s="1"/>
  <c r="O70" i="3"/>
  <c r="M50" i="4"/>
  <c r="M51" i="4" s="1"/>
  <c r="M53" i="4" s="1"/>
  <c r="P55" i="3"/>
  <c r="O38" i="4" s="1"/>
  <c r="N38" i="4"/>
  <c r="N39" i="4" s="1"/>
  <c r="P56" i="3"/>
  <c r="O48" i="4" s="1"/>
  <c r="N48" i="4"/>
  <c r="N49" i="4" s="1"/>
  <c r="L51" i="4"/>
  <c r="M39" i="4"/>
  <c r="P69" i="3"/>
  <c r="O40" i="4" s="1"/>
  <c r="N40" i="4"/>
  <c r="L67" i="3"/>
  <c r="J10" i="4"/>
  <c r="K91" i="4"/>
  <c r="N73" i="3"/>
  <c r="M80" i="4" s="1"/>
  <c r="L68" i="4"/>
  <c r="N58" i="3"/>
  <c r="N72" i="3"/>
  <c r="M70" i="4" s="1"/>
  <c r="Q57" i="4"/>
  <c r="J19" i="5" s="1"/>
  <c r="R57" i="4"/>
  <c r="K81" i="4"/>
  <c r="K83" i="4" s="1"/>
  <c r="J59" i="4"/>
  <c r="J99" i="4" s="1"/>
  <c r="L30" i="24" s="1"/>
  <c r="L38" i="24" s="1"/>
  <c r="N74" i="3"/>
  <c r="M90" i="4" s="1"/>
  <c r="L91" i="4"/>
  <c r="L93" i="4" s="1"/>
  <c r="M57" i="3"/>
  <c r="K58" i="4"/>
  <c r="K98" i="4" s="1"/>
  <c r="M29" i="24" s="1"/>
  <c r="M37" i="24" s="1"/>
  <c r="M71" i="3"/>
  <c r="L60" i="4" s="1"/>
  <c r="L100" i="4" s="1"/>
  <c r="N31" i="24" s="1"/>
  <c r="N39" i="24" s="1"/>
  <c r="O60" i="3"/>
  <c r="M88" i="4"/>
  <c r="K69" i="4"/>
  <c r="O59" i="3"/>
  <c r="M78" i="4"/>
  <c r="H30" i="4"/>
  <c r="J9" i="24" s="1"/>
  <c r="J17" i="24" s="1"/>
  <c r="R67" i="4"/>
  <c r="Q67" i="4"/>
  <c r="K19" i="5" s="1"/>
  <c r="L27" i="4"/>
  <c r="N6" i="24" s="1"/>
  <c r="N14" i="24" s="1"/>
  <c r="I61" i="4"/>
  <c r="I101" i="4" s="1"/>
  <c r="K32" i="24" s="1"/>
  <c r="P14" i="3"/>
  <c r="O77" i="4" s="1"/>
  <c r="L79" i="4"/>
  <c r="L81" i="4" s="1"/>
  <c r="L83" i="4" s="1"/>
  <c r="Q87" i="4"/>
  <c r="M19" i="5" s="1"/>
  <c r="R87" i="4"/>
  <c r="L68" i="3"/>
  <c r="K20" i="4" s="1"/>
  <c r="J21" i="4"/>
  <c r="J23" i="4" s="1"/>
  <c r="M54" i="3"/>
  <c r="K18" i="4"/>
  <c r="K19" i="4" s="1"/>
  <c r="O8" i="3"/>
  <c r="M17" i="4"/>
  <c r="F8" i="4"/>
  <c r="F98" i="4" s="1"/>
  <c r="H29" i="24" s="1"/>
  <c r="H53" i="3"/>
  <c r="I30" i="4"/>
  <c r="K9" i="24" s="1"/>
  <c r="K17" i="24" s="1"/>
  <c r="O7" i="3"/>
  <c r="M7" i="4"/>
  <c r="I17" i="24" l="1"/>
  <c r="H37" i="24"/>
  <c r="P36" i="24"/>
  <c r="T28" i="24"/>
  <c r="S28" i="24"/>
  <c r="K40" i="24"/>
  <c r="M100" i="4"/>
  <c r="O31" i="24" s="1"/>
  <c r="O39" i="24" s="1"/>
  <c r="K93" i="4"/>
  <c r="N41" i="4"/>
  <c r="N43" i="4" s="1"/>
  <c r="I63" i="4"/>
  <c r="O39" i="4"/>
  <c r="O41" i="4" s="1"/>
  <c r="Q38" i="4"/>
  <c r="H20" i="5" s="1"/>
  <c r="L53" i="4"/>
  <c r="P70" i="3"/>
  <c r="O50" i="4" s="1"/>
  <c r="N50" i="4"/>
  <c r="N51" i="4" s="1"/>
  <c r="N53" i="4" s="1"/>
  <c r="R38" i="4"/>
  <c r="Q48" i="4"/>
  <c r="I20" i="5" s="1"/>
  <c r="R48" i="4"/>
  <c r="O49" i="4"/>
  <c r="R40" i="4"/>
  <c r="Q40" i="4"/>
  <c r="H22" i="5" s="1"/>
  <c r="M41" i="4"/>
  <c r="M67" i="3"/>
  <c r="K10" i="4"/>
  <c r="M27" i="4"/>
  <c r="O6" i="24" s="1"/>
  <c r="O14" i="24" s="1"/>
  <c r="N71" i="3"/>
  <c r="M60" i="4" s="1"/>
  <c r="L69" i="4"/>
  <c r="L58" i="4"/>
  <c r="N57" i="3"/>
  <c r="O73" i="3"/>
  <c r="N80" i="4" s="1"/>
  <c r="F28" i="4"/>
  <c r="H7" i="24" s="1"/>
  <c r="O74" i="3"/>
  <c r="N90" i="4" s="1"/>
  <c r="Q77" i="4"/>
  <c r="L19" i="5" s="1"/>
  <c r="R77" i="4"/>
  <c r="K59" i="4"/>
  <c r="K99" i="4" s="1"/>
  <c r="M30" i="24" s="1"/>
  <c r="M38" i="24" s="1"/>
  <c r="R97" i="4"/>
  <c r="Q97" i="4"/>
  <c r="N19" i="5" s="1"/>
  <c r="M89" i="4"/>
  <c r="O72" i="3"/>
  <c r="N70" i="4" s="1"/>
  <c r="K71" i="4"/>
  <c r="K73" i="4" s="1"/>
  <c r="P59" i="3"/>
  <c r="O78" i="4" s="1"/>
  <c r="N78" i="4"/>
  <c r="J61" i="4"/>
  <c r="J101" i="4" s="1"/>
  <c r="L32" i="24" s="1"/>
  <c r="L40" i="24" s="1"/>
  <c r="M79" i="4"/>
  <c r="P60" i="3"/>
  <c r="O88" i="4" s="1"/>
  <c r="N88" i="4"/>
  <c r="O58" i="3"/>
  <c r="M68" i="4"/>
  <c r="M68" i="3"/>
  <c r="L20" i="4" s="1"/>
  <c r="K21" i="4"/>
  <c r="K23" i="4" s="1"/>
  <c r="L18" i="4"/>
  <c r="L19" i="4" s="1"/>
  <c r="N54" i="3"/>
  <c r="P8" i="3"/>
  <c r="O17" i="4" s="1"/>
  <c r="N17" i="4"/>
  <c r="P7" i="3"/>
  <c r="O7" i="4" s="1"/>
  <c r="N7" i="4"/>
  <c r="F9" i="4"/>
  <c r="F99" i="4" s="1"/>
  <c r="H30" i="24" s="1"/>
  <c r="H38" i="24" s="1"/>
  <c r="J30" i="4"/>
  <c r="L9" i="24" s="1"/>
  <c r="L17" i="24" s="1"/>
  <c r="I53" i="3"/>
  <c r="G8" i="4"/>
  <c r="G98" i="4" s="1"/>
  <c r="I29" i="24" s="1"/>
  <c r="I37" i="24" s="1"/>
  <c r="H15" i="24" l="1"/>
  <c r="S36" i="24"/>
  <c r="T36" i="24"/>
  <c r="I103" i="4"/>
  <c r="K34" i="24" s="1"/>
  <c r="O89" i="4"/>
  <c r="L59" i="4"/>
  <c r="L99" i="4" s="1"/>
  <c r="N30" i="24" s="1"/>
  <c r="N38" i="24" s="1"/>
  <c r="L98" i="4"/>
  <c r="N29" i="24" s="1"/>
  <c r="N37" i="24" s="1"/>
  <c r="M69" i="4"/>
  <c r="M99" i="4" s="1"/>
  <c r="O30" i="24" s="1"/>
  <c r="O38" i="24" s="1"/>
  <c r="M98" i="4"/>
  <c r="O29" i="24" s="1"/>
  <c r="O37" i="24" s="1"/>
  <c r="R39" i="4"/>
  <c r="Q39" i="4"/>
  <c r="H21" i="5" s="1"/>
  <c r="N89" i="4"/>
  <c r="N91" i="4" s="1"/>
  <c r="O43" i="4"/>
  <c r="R41" i="4"/>
  <c r="J63" i="4"/>
  <c r="J103" i="4" s="1"/>
  <c r="L34" i="24" s="1"/>
  <c r="L42" i="24" s="1"/>
  <c r="M43" i="4"/>
  <c r="Q41" i="4"/>
  <c r="H23" i="5" s="1"/>
  <c r="R50" i="4"/>
  <c r="Q50" i="4"/>
  <c r="I22" i="5" s="1"/>
  <c r="O51" i="4"/>
  <c r="R49" i="4"/>
  <c r="Q49" i="4"/>
  <c r="I21" i="5" s="1"/>
  <c r="Q78" i="4"/>
  <c r="L20" i="5" s="1"/>
  <c r="N67" i="3"/>
  <c r="L10" i="4"/>
  <c r="M91" i="4"/>
  <c r="M93" i="4" s="1"/>
  <c r="R88" i="4"/>
  <c r="R78" i="4"/>
  <c r="Q88" i="4"/>
  <c r="M20" i="5" s="1"/>
  <c r="L71" i="4"/>
  <c r="P58" i="3"/>
  <c r="O68" i="4" s="1"/>
  <c r="N68" i="4"/>
  <c r="N69" i="4" s="1"/>
  <c r="O79" i="4"/>
  <c r="F29" i="4"/>
  <c r="H8" i="24" s="1"/>
  <c r="P73" i="3"/>
  <c r="O80" i="4" s="1"/>
  <c r="M81" i="4"/>
  <c r="M83" i="4" s="1"/>
  <c r="O71" i="3"/>
  <c r="N60" i="4" s="1"/>
  <c r="N100" i="4" s="1"/>
  <c r="P31" i="24" s="1"/>
  <c r="N79" i="4"/>
  <c r="P74" i="3"/>
  <c r="O90" i="4" s="1"/>
  <c r="O57" i="3"/>
  <c r="M58" i="4"/>
  <c r="O27" i="4"/>
  <c r="Q6" i="24" s="1"/>
  <c r="Q14" i="24" s="1"/>
  <c r="K61" i="4"/>
  <c r="P72" i="3"/>
  <c r="O70" i="4" s="1"/>
  <c r="N68" i="3"/>
  <c r="M20" i="4" s="1"/>
  <c r="M18" i="4"/>
  <c r="M19" i="4" s="1"/>
  <c r="O54" i="3"/>
  <c r="N27" i="4"/>
  <c r="P6" i="24" s="1"/>
  <c r="P14" i="24" s="1"/>
  <c r="Q17" i="4"/>
  <c r="R17" i="4"/>
  <c r="G9" i="4"/>
  <c r="G99" i="4" s="1"/>
  <c r="I30" i="24" s="1"/>
  <c r="I38" i="24" s="1"/>
  <c r="G28" i="4"/>
  <c r="I7" i="24" s="1"/>
  <c r="I15" i="24" s="1"/>
  <c r="F11" i="4"/>
  <c r="K30" i="4"/>
  <c r="M9" i="24" s="1"/>
  <c r="M17" i="24" s="1"/>
  <c r="J53" i="3"/>
  <c r="H8" i="4"/>
  <c r="H98" i="4" s="1"/>
  <c r="J29" i="24" s="1"/>
  <c r="J37" i="24" s="1"/>
  <c r="Q7" i="4"/>
  <c r="R7" i="4"/>
  <c r="T14" i="24" l="1"/>
  <c r="S14" i="24"/>
  <c r="S6" i="24"/>
  <c r="T6" i="24"/>
  <c r="P39" i="24"/>
  <c r="H16" i="24"/>
  <c r="K42" i="24"/>
  <c r="Q89" i="4"/>
  <c r="M21" i="5" s="1"/>
  <c r="L61" i="4"/>
  <c r="L101" i="4" s="1"/>
  <c r="N32" i="24" s="1"/>
  <c r="N40" i="24" s="1"/>
  <c r="M71" i="4"/>
  <c r="M73" i="4" s="1"/>
  <c r="M103" i="4" s="1"/>
  <c r="O34" i="24" s="1"/>
  <c r="O42" i="24" s="1"/>
  <c r="K63" i="4"/>
  <c r="K103" i="4" s="1"/>
  <c r="M34" i="24" s="1"/>
  <c r="M42" i="24" s="1"/>
  <c r="K101" i="4"/>
  <c r="M32" i="24" s="1"/>
  <c r="R89" i="4"/>
  <c r="Q27" i="4"/>
  <c r="H7" i="5" s="1"/>
  <c r="N93" i="4"/>
  <c r="F13" i="4"/>
  <c r="F101" i="4"/>
  <c r="H32" i="24" s="1"/>
  <c r="H40" i="24" s="1"/>
  <c r="O53" i="4"/>
  <c r="R51" i="4"/>
  <c r="Q51" i="4"/>
  <c r="I23" i="5" s="1"/>
  <c r="Q43" i="4"/>
  <c r="R43" i="4"/>
  <c r="F7" i="5"/>
  <c r="F19" i="5"/>
  <c r="G7" i="5"/>
  <c r="G19" i="5"/>
  <c r="O67" i="3"/>
  <c r="M10" i="4"/>
  <c r="L73" i="4"/>
  <c r="N81" i="4"/>
  <c r="O69" i="4"/>
  <c r="O71" i="4" s="1"/>
  <c r="O73" i="4" s="1"/>
  <c r="Q68" i="4"/>
  <c r="K20" i="5" s="1"/>
  <c r="R68" i="4"/>
  <c r="P71" i="3"/>
  <c r="O60" i="4" s="1"/>
  <c r="R80" i="4"/>
  <c r="Q80" i="4"/>
  <c r="L22" i="5" s="1"/>
  <c r="H28" i="4"/>
  <c r="J7" i="24" s="1"/>
  <c r="J15" i="24" s="1"/>
  <c r="M59" i="4"/>
  <c r="P57" i="3"/>
  <c r="O58" i="4" s="1"/>
  <c r="O98" i="4" s="1"/>
  <c r="Q29" i="24" s="1"/>
  <c r="Q37" i="24" s="1"/>
  <c r="N58" i="4"/>
  <c r="N98" i="4" s="1"/>
  <c r="P29" i="24" s="1"/>
  <c r="P37" i="24" s="1"/>
  <c r="R70" i="4"/>
  <c r="Q70" i="4"/>
  <c r="K22" i="5" s="1"/>
  <c r="N71" i="4"/>
  <c r="N73" i="4" s="1"/>
  <c r="F31" i="4"/>
  <c r="H10" i="24" s="1"/>
  <c r="R90" i="4"/>
  <c r="Q90" i="4"/>
  <c r="M22" i="5" s="1"/>
  <c r="O81" i="4"/>
  <c r="O83" i="4" s="1"/>
  <c r="Q79" i="4"/>
  <c r="L21" i="5" s="1"/>
  <c r="R79" i="4"/>
  <c r="O91" i="4"/>
  <c r="O68" i="3"/>
  <c r="N20" i="4" s="1"/>
  <c r="M21" i="4"/>
  <c r="M23" i="4" s="1"/>
  <c r="L21" i="4"/>
  <c r="L23" i="4" s="1"/>
  <c r="P54" i="3"/>
  <c r="O18" i="4" s="1"/>
  <c r="O19" i="4" s="1"/>
  <c r="N18" i="4"/>
  <c r="R27" i="4"/>
  <c r="G11" i="4"/>
  <c r="G29" i="4"/>
  <c r="I8" i="24" s="1"/>
  <c r="I16" i="24" s="1"/>
  <c r="K53" i="3"/>
  <c r="I8" i="4"/>
  <c r="I28" i="4" s="1"/>
  <c r="K7" i="24" s="1"/>
  <c r="K15" i="24" s="1"/>
  <c r="L30" i="4"/>
  <c r="N9" i="24" s="1"/>
  <c r="N17" i="24" s="1"/>
  <c r="H9" i="4"/>
  <c r="H99" i="4" s="1"/>
  <c r="J30" i="24" s="1"/>
  <c r="J38" i="24" s="1"/>
  <c r="T37" i="24" l="1"/>
  <c r="S37" i="24"/>
  <c r="T29" i="24"/>
  <c r="S29" i="24"/>
  <c r="H18" i="24"/>
  <c r="M40" i="24"/>
  <c r="L63" i="4"/>
  <c r="M101" i="4"/>
  <c r="O32" i="24" s="1"/>
  <c r="O40" i="24" s="1"/>
  <c r="O100" i="4"/>
  <c r="N83" i="4"/>
  <c r="Q69" i="4"/>
  <c r="K21" i="5" s="1"/>
  <c r="G13" i="4"/>
  <c r="G101" i="4"/>
  <c r="I32" i="24" s="1"/>
  <c r="I40" i="24" s="1"/>
  <c r="F33" i="4"/>
  <c r="H12" i="24" s="1"/>
  <c r="F103" i="4"/>
  <c r="H34" i="24" s="1"/>
  <c r="H42" i="24" s="1"/>
  <c r="N59" i="4"/>
  <c r="N99" i="4" s="1"/>
  <c r="P30" i="24" s="1"/>
  <c r="R98" i="4"/>
  <c r="Q91" i="4"/>
  <c r="M23" i="5" s="1"/>
  <c r="O93" i="4"/>
  <c r="R53" i="4"/>
  <c r="Q53" i="4"/>
  <c r="P67" i="3"/>
  <c r="O10" i="4" s="1"/>
  <c r="N10" i="4"/>
  <c r="R73" i="4"/>
  <c r="Q73" i="4"/>
  <c r="R71" i="4"/>
  <c r="R58" i="4"/>
  <c r="Q81" i="4"/>
  <c r="L23" i="5" s="1"/>
  <c r="R81" i="4"/>
  <c r="H29" i="4"/>
  <c r="J8" i="24" s="1"/>
  <c r="J16" i="24" s="1"/>
  <c r="M61" i="4"/>
  <c r="M63" i="4" s="1"/>
  <c r="Q71" i="4"/>
  <c r="K23" i="5" s="1"/>
  <c r="R60" i="4"/>
  <c r="Q60" i="4"/>
  <c r="J22" i="5" s="1"/>
  <c r="R69" i="4"/>
  <c r="G31" i="4"/>
  <c r="I10" i="24" s="1"/>
  <c r="I18" i="24" s="1"/>
  <c r="O59" i="4"/>
  <c r="O99" i="4" s="1"/>
  <c r="Q30" i="24" s="1"/>
  <c r="Q38" i="24" s="1"/>
  <c r="Q58" i="4"/>
  <c r="J20" i="5" s="1"/>
  <c r="R91" i="4"/>
  <c r="P68" i="3"/>
  <c r="R18" i="4"/>
  <c r="Q18" i="4"/>
  <c r="N19" i="4"/>
  <c r="M30" i="4"/>
  <c r="O9" i="24" s="1"/>
  <c r="O17" i="24" s="1"/>
  <c r="L53" i="3"/>
  <c r="J8" i="4"/>
  <c r="J28" i="4" s="1"/>
  <c r="L7" i="24" s="1"/>
  <c r="H11" i="4"/>
  <c r="H101" i="4" s="1"/>
  <c r="J32" i="24" s="1"/>
  <c r="J40" i="24" s="1"/>
  <c r="I9" i="4"/>
  <c r="R100" i="4" l="1"/>
  <c r="Q31" i="24"/>
  <c r="L15" i="24"/>
  <c r="H20" i="24"/>
  <c r="P38" i="24"/>
  <c r="S30" i="24"/>
  <c r="T30" i="24"/>
  <c r="Q83" i="4"/>
  <c r="L103" i="4"/>
  <c r="N34" i="24" s="1"/>
  <c r="Q100" i="4"/>
  <c r="N22" i="5" s="1"/>
  <c r="R83" i="4"/>
  <c r="N61" i="4"/>
  <c r="N101" i="4" s="1"/>
  <c r="P32" i="24" s="1"/>
  <c r="H13" i="4"/>
  <c r="H103" i="4" s="1"/>
  <c r="J34" i="24" s="1"/>
  <c r="J42" i="24" s="1"/>
  <c r="Q98" i="4"/>
  <c r="N20" i="5" s="1"/>
  <c r="Q59" i="4"/>
  <c r="J21" i="5" s="1"/>
  <c r="R93" i="4"/>
  <c r="Q93" i="4"/>
  <c r="G33" i="4"/>
  <c r="I12" i="24" s="1"/>
  <c r="I20" i="24" s="1"/>
  <c r="G103" i="4"/>
  <c r="I34" i="24" s="1"/>
  <c r="I42" i="24" s="1"/>
  <c r="O20" i="4"/>
  <c r="R20" i="4" s="1"/>
  <c r="G8" i="5"/>
  <c r="G20" i="5"/>
  <c r="H31" i="4"/>
  <c r="J10" i="24" s="1"/>
  <c r="O61" i="4"/>
  <c r="O101" i="4" s="1"/>
  <c r="Q32" i="24" s="1"/>
  <c r="Q40" i="24" s="1"/>
  <c r="R59" i="4"/>
  <c r="N21" i="4"/>
  <c r="N23" i="4" s="1"/>
  <c r="R19" i="4"/>
  <c r="Q19" i="4"/>
  <c r="I11" i="4"/>
  <c r="I29" i="4"/>
  <c r="K8" i="24" s="1"/>
  <c r="K16" i="24" s="1"/>
  <c r="J9" i="4"/>
  <c r="M53" i="3"/>
  <c r="K8" i="4"/>
  <c r="N30" i="4"/>
  <c r="P9" i="24" s="1"/>
  <c r="P17" i="24" s="1"/>
  <c r="Q39" i="24" l="1"/>
  <c r="T31" i="24"/>
  <c r="S31" i="24"/>
  <c r="J18" i="24"/>
  <c r="P40" i="24"/>
  <c r="S32" i="24"/>
  <c r="T32" i="24"/>
  <c r="T38" i="24"/>
  <c r="S38" i="24"/>
  <c r="N42" i="24"/>
  <c r="Q99" i="4"/>
  <c r="N21" i="5" s="1"/>
  <c r="R99" i="4"/>
  <c r="R61" i="4"/>
  <c r="O63" i="4"/>
  <c r="O103" i="4" s="1"/>
  <c r="Q34" i="24" s="1"/>
  <c r="Q42" i="24" s="1"/>
  <c r="H33" i="4"/>
  <c r="J12" i="24" s="1"/>
  <c r="N63" i="4"/>
  <c r="O30" i="4"/>
  <c r="Q20" i="4"/>
  <c r="O21" i="4"/>
  <c r="O23" i="4" s="1"/>
  <c r="Q23" i="4" s="1"/>
  <c r="G9" i="5"/>
  <c r="G21" i="5"/>
  <c r="I31" i="4"/>
  <c r="K10" i="24" s="1"/>
  <c r="K18" i="24" s="1"/>
  <c r="I13" i="4"/>
  <c r="I33" i="4" s="1"/>
  <c r="K12" i="24" s="1"/>
  <c r="K20" i="24" s="1"/>
  <c r="Q61" i="4"/>
  <c r="J23" i="5" s="1"/>
  <c r="J11" i="4"/>
  <c r="J29" i="4"/>
  <c r="L8" i="24" s="1"/>
  <c r="L16" i="24" s="1"/>
  <c r="K9" i="4"/>
  <c r="K28" i="4"/>
  <c r="M7" i="24" s="1"/>
  <c r="N53" i="3"/>
  <c r="L8" i="4"/>
  <c r="Q10" i="4"/>
  <c r="R10" i="4"/>
  <c r="T39" i="24" l="1"/>
  <c r="S39" i="24"/>
  <c r="Q30" i="4"/>
  <c r="H10" i="5" s="1"/>
  <c r="Q9" i="24"/>
  <c r="J20" i="24"/>
  <c r="M15" i="24"/>
  <c r="S40" i="24"/>
  <c r="T40" i="24"/>
  <c r="N103" i="4"/>
  <c r="Q101" i="4"/>
  <c r="N23" i="5" s="1"/>
  <c r="R30" i="4"/>
  <c r="R63" i="4"/>
  <c r="Q63" i="4"/>
  <c r="R101" i="4"/>
  <c r="F10" i="5"/>
  <c r="F22" i="5"/>
  <c r="R23" i="4"/>
  <c r="G10" i="5"/>
  <c r="G22" i="5"/>
  <c r="Q21" i="4"/>
  <c r="R21" i="4"/>
  <c r="J31" i="4"/>
  <c r="L10" i="24" s="1"/>
  <c r="L18" i="24" s="1"/>
  <c r="J13" i="4"/>
  <c r="J33" i="4" s="1"/>
  <c r="L12" i="24" s="1"/>
  <c r="L20" i="24" s="1"/>
  <c r="L9" i="4"/>
  <c r="L28" i="4"/>
  <c r="N7" i="24" s="1"/>
  <c r="N15" i="24" s="1"/>
  <c r="K11" i="4"/>
  <c r="K29" i="4"/>
  <c r="M8" i="24" s="1"/>
  <c r="O53" i="3"/>
  <c r="M8" i="4"/>
  <c r="Q17" i="24" l="1"/>
  <c r="T9" i="24"/>
  <c r="S9" i="24"/>
  <c r="M16" i="24"/>
  <c r="P34" i="24"/>
  <c r="R103" i="4"/>
  <c r="Q103" i="4"/>
  <c r="G11" i="5"/>
  <c r="G23" i="5"/>
  <c r="K31" i="4"/>
  <c r="M10" i="24" s="1"/>
  <c r="M18" i="24" s="1"/>
  <c r="K13" i="4"/>
  <c r="K33" i="4" s="1"/>
  <c r="M12" i="24" s="1"/>
  <c r="M20" i="24" s="1"/>
  <c r="M9" i="4"/>
  <c r="M28" i="4"/>
  <c r="O7" i="24" s="1"/>
  <c r="O15" i="24" s="1"/>
  <c r="L11" i="4"/>
  <c r="L29" i="4"/>
  <c r="N8" i="24" s="1"/>
  <c r="P53" i="3"/>
  <c r="O8" i="4" s="1"/>
  <c r="O28" i="4" s="1"/>
  <c r="Q7" i="24" s="1"/>
  <c r="N8" i="4"/>
  <c r="T17" i="24" l="1"/>
  <c r="S17" i="24"/>
  <c r="Q15" i="24"/>
  <c r="N16" i="24"/>
  <c r="P42" i="24"/>
  <c r="S34" i="24"/>
  <c r="T34" i="24"/>
  <c r="L31" i="4"/>
  <c r="N10" i="24" s="1"/>
  <c r="N18" i="24" s="1"/>
  <c r="L13" i="4"/>
  <c r="L33" i="4" s="1"/>
  <c r="N12" i="24" s="1"/>
  <c r="N20" i="24" s="1"/>
  <c r="N9" i="4"/>
  <c r="N28" i="4"/>
  <c r="M11" i="4"/>
  <c r="M29" i="4"/>
  <c r="O8" i="24" s="1"/>
  <c r="O16" i="24" s="1"/>
  <c r="O9" i="4"/>
  <c r="O29" i="4" s="1"/>
  <c r="Q8" i="24" s="1"/>
  <c r="Q16" i="24" s="1"/>
  <c r="Q8" i="4"/>
  <c r="R8" i="4"/>
  <c r="R28" i="4" l="1"/>
  <c r="P7" i="24"/>
  <c r="S42" i="24"/>
  <c r="T42" i="24"/>
  <c r="F8" i="5"/>
  <c r="F20" i="5"/>
  <c r="M31" i="4"/>
  <c r="O10" i="24" s="1"/>
  <c r="M13" i="4"/>
  <c r="M33" i="4" s="1"/>
  <c r="O12" i="24" s="1"/>
  <c r="O20" i="24" s="1"/>
  <c r="Q28" i="4"/>
  <c r="H8" i="5" s="1"/>
  <c r="N11" i="4"/>
  <c r="N29" i="4"/>
  <c r="O11" i="4"/>
  <c r="Q9" i="4"/>
  <c r="R9" i="4"/>
  <c r="R29" i="4" l="1"/>
  <c r="P8" i="24"/>
  <c r="P15" i="24"/>
  <c r="S7" i="24"/>
  <c r="T7" i="24"/>
  <c r="O18" i="24"/>
  <c r="F9" i="5"/>
  <c r="F21" i="5"/>
  <c r="N31" i="4"/>
  <c r="P10" i="24" s="1"/>
  <c r="P18" i="24" s="1"/>
  <c r="N13" i="4"/>
  <c r="N33" i="4" s="1"/>
  <c r="P12" i="24" s="1"/>
  <c r="O31" i="4"/>
  <c r="Q10" i="24" s="1"/>
  <c r="O13" i="4"/>
  <c r="O33" i="4" s="1"/>
  <c r="Q12" i="24" s="1"/>
  <c r="Q29" i="4"/>
  <c r="H9" i="5" s="1"/>
  <c r="Q11" i="4"/>
  <c r="R11" i="4"/>
  <c r="T10" i="24" l="1"/>
  <c r="Q20" i="24"/>
  <c r="S12" i="24"/>
  <c r="P20" i="24"/>
  <c r="T12" i="24"/>
  <c r="Q18" i="24"/>
  <c r="S10" i="24"/>
  <c r="S15" i="24"/>
  <c r="T15" i="24"/>
  <c r="P16" i="24"/>
  <c r="T8" i="24"/>
  <c r="S8" i="24"/>
  <c r="F11" i="5"/>
  <c r="F23" i="5"/>
  <c r="R33" i="4"/>
  <c r="Q33" i="4"/>
  <c r="R31" i="4"/>
  <c r="Q31" i="4"/>
  <c r="H11" i="5" s="1"/>
  <c r="R13" i="4"/>
  <c r="Q13" i="4"/>
  <c r="T16" i="24" l="1"/>
  <c r="S16" i="24"/>
  <c r="T18" i="24"/>
  <c r="S18" i="24"/>
  <c r="T20" i="24"/>
  <c r="S20" i="24"/>
</calcChain>
</file>

<file path=xl/sharedStrings.xml><?xml version="1.0" encoding="utf-8"?>
<sst xmlns="http://schemas.openxmlformats.org/spreadsheetml/2006/main" count="1193" uniqueCount="225">
  <si>
    <t>Conventional Corn</t>
  </si>
  <si>
    <t>Gross Revenue:</t>
  </si>
  <si>
    <t>Crop Price</t>
  </si>
  <si>
    <t>Crop Yield</t>
  </si>
  <si>
    <t>Government Payments</t>
  </si>
  <si>
    <t>Crop Insurance Idemnity Payments</t>
  </si>
  <si>
    <t>Total</t>
  </si>
  <si>
    <t>Seed:</t>
  </si>
  <si>
    <t>Seed Cost</t>
  </si>
  <si>
    <t>Crop Revenue</t>
  </si>
  <si>
    <t xml:space="preserve">Miscellaneous </t>
  </si>
  <si>
    <t>Variable</t>
  </si>
  <si>
    <t>Fixed</t>
  </si>
  <si>
    <t>Seed Price (1000 seeds)</t>
  </si>
  <si>
    <t>Seeding Level (kernels per acre)</t>
  </si>
  <si>
    <t>Nitrogen:</t>
  </si>
  <si>
    <t>Pounds per Acre</t>
  </si>
  <si>
    <t>Price per Ton</t>
  </si>
  <si>
    <t>Nitrogen Cost</t>
  </si>
  <si>
    <t>Phosphorus:</t>
  </si>
  <si>
    <t>Phosphorus Cost</t>
  </si>
  <si>
    <t>Potassium:</t>
  </si>
  <si>
    <t>Potassium Cost</t>
  </si>
  <si>
    <t>Lime</t>
  </si>
  <si>
    <t>Herbicide</t>
  </si>
  <si>
    <t>Insecticide</t>
  </si>
  <si>
    <t>Crop Insurance</t>
  </si>
  <si>
    <t>Insurance</t>
  </si>
  <si>
    <t xml:space="preserve">Miscelleneous </t>
  </si>
  <si>
    <t>Apply N</t>
  </si>
  <si>
    <t>Apply P and K</t>
  </si>
  <si>
    <t>Tandem Disk</t>
  </si>
  <si>
    <t>Field Cultivation</t>
  </si>
  <si>
    <t>Other</t>
  </si>
  <si>
    <t>Direct Costs:</t>
  </si>
  <si>
    <t>Sub-Total</t>
  </si>
  <si>
    <t>Harvest Costs:</t>
  </si>
  <si>
    <t>Combine</t>
  </si>
  <si>
    <t>Hauling</t>
  </si>
  <si>
    <t>Drying</t>
  </si>
  <si>
    <t>Drying Cost</t>
  </si>
  <si>
    <t>Hired Labor</t>
  </si>
  <si>
    <t>Operator and Family Labor</t>
  </si>
  <si>
    <t>Labor Costs:</t>
  </si>
  <si>
    <t>Hours</t>
  </si>
  <si>
    <t>Rate per Hour</t>
  </si>
  <si>
    <t>Hired Labor Cost</t>
  </si>
  <si>
    <t>Land Costs:</t>
  </si>
  <si>
    <t>Cash Rent Equivalent</t>
  </si>
  <si>
    <t>Contribution Margin</t>
  </si>
  <si>
    <t>Earnings</t>
  </si>
  <si>
    <t>Per Acre</t>
  </si>
  <si>
    <t>Per Bushel</t>
  </si>
  <si>
    <t>Conventional Corn (Enter Data in Yellow Cells)</t>
  </si>
  <si>
    <t>Conventional Production Plan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</si>
  <si>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</si>
  <si>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</si>
  <si>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</si>
  <si>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</si>
  <si>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</si>
  <si>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</si>
  <si>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</si>
  <si>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</si>
  <si>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</si>
  <si>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</si>
  <si>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% of Total</t>
  </si>
  <si>
    <t>Crop</t>
  </si>
  <si>
    <t>Conventional Soybeans</t>
  </si>
  <si>
    <t>Transition Oats</t>
  </si>
  <si>
    <t>Transition Alfalfa</t>
  </si>
  <si>
    <t>Field 1</t>
  </si>
  <si>
    <t>Field 2</t>
  </si>
  <si>
    <t>Field 3</t>
  </si>
  <si>
    <t>Field 4</t>
  </si>
  <si>
    <t>% of Acres</t>
  </si>
  <si>
    <t>Organic Corn</t>
  </si>
  <si>
    <t>Organic Soybeans</t>
  </si>
  <si>
    <t>Organic Oats</t>
  </si>
  <si>
    <t>Organic Alfalfa</t>
  </si>
  <si>
    <t>Yields for Year 1 through Year 10</t>
  </si>
  <si>
    <t>Prices for Year 1 through Year 10</t>
  </si>
  <si>
    <t>% Δ / year</t>
  </si>
  <si>
    <t>Government Payments, Crop Insurance Indemnity Payments, and Miscellaneous Revenue for Year 1 through Year 10</t>
  </si>
  <si>
    <t>Gross Revenue</t>
  </si>
  <si>
    <t>Conventional Corn (per acre)</t>
  </si>
  <si>
    <t>Variable Cost</t>
  </si>
  <si>
    <t>Fixed Cost</t>
  </si>
  <si>
    <t>Annual Returns by Crop (per acre)</t>
  </si>
  <si>
    <t>Variable Costs for Year 1 through Year 10</t>
  </si>
  <si>
    <t>Avg</t>
  </si>
  <si>
    <t>Std Dev</t>
  </si>
  <si>
    <t>Conventional Crop Rotation Returns</t>
  </si>
  <si>
    <t>Net Return to Land</t>
  </si>
  <si>
    <t>Conventional Soybeans (Enter Data in Yellow Cells)</t>
  </si>
  <si>
    <t>Gross Return</t>
  </si>
  <si>
    <t>Organic Corn (Enter Data in Yellow Cells)</t>
  </si>
  <si>
    <t>Plow</t>
  </si>
  <si>
    <t>Field Cultivate</t>
  </si>
  <si>
    <t>Plant</t>
  </si>
  <si>
    <t>Rotary Hoe</t>
  </si>
  <si>
    <t>Row Cultivate</t>
  </si>
  <si>
    <t>Organic Soybeans (Enter Data in Yellow Cells)</t>
  </si>
  <si>
    <t>Corn</t>
  </si>
  <si>
    <t>Soybeans</t>
  </si>
  <si>
    <t>Rotation</t>
  </si>
  <si>
    <t>Org Corn</t>
  </si>
  <si>
    <t>Org Soy</t>
  </si>
  <si>
    <t>Org Oats</t>
  </si>
  <si>
    <t>Org Alfalfa</t>
  </si>
  <si>
    <t>10-Year Average Per Acre Returns</t>
  </si>
  <si>
    <t>Transition and Organic Crop Rotations</t>
  </si>
  <si>
    <t>Fixed Costs, Except for Cash Rent,  for Year 1 through Year 10</t>
  </si>
  <si>
    <t>Cash Rent for Year 1 through Year 10</t>
  </si>
  <si>
    <t>Conventional Crop Rotations</t>
  </si>
  <si>
    <t>Percent of Acres</t>
  </si>
  <si>
    <t>Transition Alfalfa (Enter Data in Yellow Cells)</t>
  </si>
  <si>
    <t>Organic Alfalfa (Enter Data in Yellow Cells)</t>
  </si>
  <si>
    <t>Conventional Soybeans (per acre)</t>
  </si>
  <si>
    <t>Conventional Crop Rotation (per acre)</t>
  </si>
  <si>
    <t>Transition Oats (per acre)</t>
  </si>
  <si>
    <t>Transition Alfalfa (per acre)</t>
  </si>
  <si>
    <t>Organic Corn (per acre)</t>
  </si>
  <si>
    <t>Organic Soybeans (per acre)</t>
  </si>
  <si>
    <t>Organic Oats (per acre)</t>
  </si>
  <si>
    <t>Organic Alfalfa (per acre)</t>
  </si>
  <si>
    <t>Transition and Organic Crop Rotations (per acre)</t>
  </si>
  <si>
    <t>T Alfalfa</t>
  </si>
  <si>
    <t>T Oats</t>
  </si>
  <si>
    <t>Sulfer</t>
  </si>
  <si>
    <t>Sulfer Cost</t>
  </si>
  <si>
    <t>Spray Herbicide</t>
  </si>
  <si>
    <t>Dollars per Bushel</t>
  </si>
  <si>
    <t>Dollars per Point</t>
  </si>
  <si>
    <t>Points per Bushel</t>
  </si>
  <si>
    <t>Operating Interest</t>
  </si>
  <si>
    <t>Machinery Costs:</t>
  </si>
  <si>
    <t>Total Costs:</t>
  </si>
  <si>
    <t>Contribution Margin:</t>
  </si>
  <si>
    <t>Earnings:</t>
  </si>
  <si>
    <t>Disk</t>
  </si>
  <si>
    <t>Dry Manure:</t>
  </si>
  <si>
    <t>Liquid Manure:</t>
  </si>
  <si>
    <t>Dry Manure Cost</t>
  </si>
  <si>
    <t>Gallons per Acre</t>
  </si>
  <si>
    <t>Liquid Manure Cost</t>
  </si>
  <si>
    <t>Price per Gallon</t>
  </si>
  <si>
    <t>Cover Crop</t>
  </si>
  <si>
    <t>Crop Yield: Oats</t>
  </si>
  <si>
    <t>Crop Yield: Alfalfa</t>
  </si>
  <si>
    <t>Crop Price: Oats</t>
  </si>
  <si>
    <t>Crop Price: Alfalfa</t>
  </si>
  <si>
    <t>Seed: Oats</t>
  </si>
  <si>
    <t>Seed: Alfalfa</t>
  </si>
  <si>
    <t>Seeding Level (units per acre)</t>
  </si>
  <si>
    <t>Seed Price (per unit)</t>
  </si>
  <si>
    <t>Organic Oats/Alfalfa (Enter Data in Yellow Cells)</t>
  </si>
  <si>
    <t>Harrow</t>
  </si>
  <si>
    <t>Drill</t>
  </si>
  <si>
    <t>Haying Operations:</t>
  </si>
  <si>
    <t>Cuttings</t>
  </si>
  <si>
    <t>Hauling: Oats</t>
  </si>
  <si>
    <t>Hauling: Alfalfa</t>
  </si>
  <si>
    <t>Dollars per Ton</t>
  </si>
  <si>
    <t>Per Ton</t>
  </si>
  <si>
    <t>Combine Oats</t>
  </si>
  <si>
    <t>Hauling:</t>
  </si>
  <si>
    <t>Organic Alfalfa; establishment</t>
  </si>
  <si>
    <t>Δ unit / year</t>
  </si>
  <si>
    <t>Transition Alfalfa; establishment</t>
  </si>
  <si>
    <t>Transition Oats/Alfalfa (Enter Data in Yellow Cells)</t>
  </si>
  <si>
    <t>Price per Pound</t>
  </si>
  <si>
    <t>Mowing and Conditioning (per cutting)</t>
  </si>
  <si>
    <t>Raking (per cutting)</t>
  </si>
  <si>
    <t>Baling (per ton)</t>
  </si>
  <si>
    <t>Apply Liquid Manure (per 1000 gallons)</t>
  </si>
  <si>
    <t>Transition and Organic Crop Rotation Returns</t>
  </si>
  <si>
    <t>Transition and Organic Production Plan</t>
  </si>
  <si>
    <t>Input - Conventional, Transition, and Organic Production Plans for Next Ten Years (Enter Data in Yellow Cells)</t>
  </si>
  <si>
    <t>Input - Conventional, Transition, and Organic Yields, Gross Revenue, and Total Cost Projections (Enter Data in Yellow Cells)</t>
  </si>
  <si>
    <t>Operation</t>
  </si>
  <si>
    <t>Cost</t>
  </si>
  <si>
    <t>Anhydrous Application</t>
  </si>
  <si>
    <t>Baling, Large Round Bales (per ton)</t>
  </si>
  <si>
    <t>Combine Corn</t>
  </si>
  <si>
    <t>Combine Soybeans</t>
  </si>
  <si>
    <t>Combine Small Grain</t>
  </si>
  <si>
    <t>Drill Alfalfa (seeder/packer)</t>
  </si>
  <si>
    <t>Drill Wheat</t>
  </si>
  <si>
    <t>Grain Cart</t>
  </si>
  <si>
    <t>Moldboard Plow</t>
  </si>
  <si>
    <t>Moving, Large Round Bales (per ton)</t>
  </si>
  <si>
    <t>Mowing and Conditioning Hay</t>
  </si>
  <si>
    <t>Plant Corn or Soybeans</t>
  </si>
  <si>
    <t>Raking</t>
  </si>
  <si>
    <t>Rotary Hoeing</t>
  </si>
  <si>
    <t>Row Crop Cultivation</t>
  </si>
  <si>
    <t>Spray Fertilizer</t>
  </si>
  <si>
    <t>Spread Fertilizer</t>
  </si>
  <si>
    <t>Spreading Dry Manure (per ton)</t>
  </si>
  <si>
    <t>Spreading Liquid Manure (per 1000 gal)</t>
  </si>
  <si>
    <t>Spread Insecticide</t>
  </si>
  <si>
    <t>Tandom Disk</t>
  </si>
  <si>
    <t>Seed: Cover Crops</t>
  </si>
  <si>
    <t>Seed Price (50# per unit)</t>
  </si>
  <si>
    <t>Apply Dry Manure (per ton)</t>
  </si>
  <si>
    <t>Plant Cover Crops</t>
  </si>
  <si>
    <t>Plant Corn</t>
  </si>
  <si>
    <t>Plant Soybeans</t>
  </si>
  <si>
    <t>Notes</t>
  </si>
  <si>
    <t xml:space="preserve">In the sheets to the right, enter data in the yellow cells.  </t>
  </si>
  <si>
    <t>We recommend starting with the individual crop spreadsheets (e.g., conventional corn).  These sheets</t>
  </si>
  <si>
    <t>represent returns and costs for the first year of the analysis.  The variable and fixed cost components</t>
  </si>
  <si>
    <t xml:space="preserve">of each field operation can be found in the last sheet to the right entitled "Field Operations".  </t>
  </si>
  <si>
    <t xml:space="preserve">Yield, price, miscellaneous income, and costs for the second through tenth years can be found in the </t>
  </si>
  <si>
    <t>sheet entitled "Long-Run Projections".</t>
  </si>
  <si>
    <t>The "Summary" sheet contains the ten-year averages for each rotation.</t>
  </si>
  <si>
    <t>Discount Rate</t>
  </si>
  <si>
    <t>Gross Return (NPV)</t>
  </si>
  <si>
    <t>Variable Cost (NPV)</t>
  </si>
  <si>
    <t>Contribution Margin (NPV)</t>
  </si>
  <si>
    <t>Fixed Cost (NPV)</t>
  </si>
  <si>
    <t>Earnings (NPV)</t>
  </si>
  <si>
    <t>Net Return to Land (NPV)</t>
  </si>
  <si>
    <t>Tons per Acre</t>
  </si>
  <si>
    <t>Price per 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</si>
</sst>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0.0"/>
    <numFmt numFmtId="165" formatCode="0.0%"/>
    <numFmt numFmtId="166" formatCode="0.000"/>
    <numFmt numFmtId="167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0" fontId="6" fillId="0" borderId="0" xfId="0" applyFont="1"/>
    <xf numFmtId="164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3" fontId="0" fillId="2" borderId="2" xfId="0" applyNumberFormat="1" applyFill="1" applyBorder="1" applyProtection="1">
      <protection locked="0"/>
    </xf>
    <xf numFmtId="165" fontId="0" fillId="2" borderId="2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66" fontId="0" fillId="2" borderId="2" xfId="0" applyNumberFormat="1" applyFill="1" applyBorder="1" applyProtection="1">
      <protection locked="0"/>
    </xf>
    <xf numFmtId="167" fontId="0" fillId="2" borderId="2" xfId="0" applyNumberFormat="1" applyFill="1" applyBorder="1" applyProtection="1">
      <protection locked="0"/>
    </xf>
    <xf numFmtId="4" fontId="0" fillId="0" borderId="0" xfId="0" applyNumberFormat="1"/>
    <xf numFmtId="2" fontId="0" fillId="2" borderId="2" xfId="0" applyNumberFormat="1" applyFill="1" applyBorder="1" applyAlignment="1">
      <alignment horizontal="center"/>
    </xf>
    <xf numFmtId="2" fontId="0" fillId="0" borderId="0" xfId="0" applyNumberFormat="1" applyProtection="1">
      <protection locked="0"/>
    </xf>
    <xf numFmtId="164" fontId="0" fillId="2" borderId="2" xfId="0" applyNumberFormat="1" applyFill="1" applyBorder="1"/>
    <xf numFmtId="0" fontId="0" fillId="0" borderId="0" xfId="0" applyProtection="1"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4" fontId="0" fillId="2" borderId="2" xfId="0" applyNumberFormat="1" applyFill="1" applyBorder="1" applyProtection="1">
      <protection locked="0"/>
    </xf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right"/>
    </xf>
    <xf numFmtId="6" fontId="8" fillId="0" borderId="0" xfId="0" applyNumberFormat="1" applyFont="1"/>
    <xf numFmtId="0" fontId="9" fillId="0" borderId="0" xfId="0" applyFont="1"/>
    <xf numFmtId="0" fontId="9" fillId="2" borderId="2" xfId="0" applyFont="1" applyFill="1" applyBorder="1" applyProtection="1">
      <protection locked="0"/>
    </xf>
    <xf numFmtId="0" fontId="10" fillId="0" borderId="0" xfId="0" applyFont="1" applyAlignment="1">
      <alignment horizontal="right"/>
    </xf>
    <xf numFmtId="2" fontId="11" fillId="0" borderId="0" xfId="0" applyNumberFormat="1" applyFont="1"/>
    <xf numFmtId="2" fontId="2" fillId="0" borderId="0" xfId="0" applyNumberFormat="1" applyFont="1"/>
    <xf numFmtId="166" fontId="0" fillId="0" borderId="0" xfId="0" applyNumberFormat="1"/>
    <xf numFmtId="165" fontId="0" fillId="2" borderId="2" xfId="1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zoomScale="150" zoomScaleNormal="150" workbookViewId="0"/>
  </sheetViews>
  <sheetFormatPr defaultRowHeight="15" x14ac:dyDescent="0.25"/>
  <sheetData>
    <row r="1" spans="1:2" x14ac:dyDescent="0.25">
      <c r="A1" s="1" t="s">
        <v>208</v>
      </c>
    </row>
    <row r="3" spans="1:2" x14ac:dyDescent="0.25">
      <c r="B3" t="s">
        <v>209</v>
      </c>
    </row>
    <row r="5" spans="1:2" x14ac:dyDescent="0.25">
      <c r="B5" t="s">
        <v>210</v>
      </c>
    </row>
    <row r="6" spans="1:2" x14ac:dyDescent="0.25">
      <c r="B6" t="s">
        <v>211</v>
      </c>
    </row>
    <row r="7" spans="1:2" x14ac:dyDescent="0.25">
      <c r="B7" t="s">
        <v>212</v>
      </c>
    </row>
    <row r="8" spans="1:2" x14ac:dyDescent="0.25">
      <c r="B8" t="s">
        <v>213</v>
      </c>
    </row>
    <row r="9" spans="1:2" x14ac:dyDescent="0.25">
      <c r="B9" t="s">
        <v>214</v>
      </c>
    </row>
    <row r="11" spans="1:2" x14ac:dyDescent="0.25">
      <c r="B11" t="s">
        <v>215</v>
      </c>
    </row>
  </sheetData>
  <sheetProtection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13"/>
  <sheetViews>
    <sheetView zoomScale="150" zoomScaleNormal="150" workbookViewId="0"/>
  </sheetViews>
  <sheetFormatPr defaultRowHeight="15" x14ac:dyDescent="0.25"/>
  <sheetData>
    <row r="1" spans="1:10" x14ac:dyDescent="0.25">
      <c r="A1" s="1" t="s">
        <v>95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151.30000000000001</v>
      </c>
      <c r="J5" s="3"/>
    </row>
    <row r="6" spans="1:10" x14ac:dyDescent="0.25">
      <c r="B6" t="s">
        <v>2</v>
      </c>
      <c r="I6" s="18">
        <v>8.3000000000000007</v>
      </c>
      <c r="J6" s="2"/>
    </row>
    <row r="7" spans="1:10" x14ac:dyDescent="0.25">
      <c r="B7" t="s">
        <v>9</v>
      </c>
      <c r="J7" s="24">
        <f>I5*I6</f>
        <v>1255.7900000000002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40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1295.7900000000002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202</v>
      </c>
    </row>
    <row r="18" spans="2:10" x14ac:dyDescent="0.25">
      <c r="C18" t="s">
        <v>203</v>
      </c>
      <c r="G18" s="18">
        <v>29.78</v>
      </c>
    </row>
    <row r="19" spans="2:10" x14ac:dyDescent="0.25">
      <c r="C19" t="s">
        <v>153</v>
      </c>
      <c r="G19" s="30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1" spans="2:10" x14ac:dyDescent="0.25">
      <c r="H21" s="4"/>
      <c r="I21" s="4"/>
      <c r="J21" s="4"/>
    </row>
    <row r="22" spans="2:10" x14ac:dyDescent="0.25">
      <c r="B22" t="s">
        <v>7</v>
      </c>
    </row>
    <row r="23" spans="2:10" x14ac:dyDescent="0.25">
      <c r="C23" t="s">
        <v>13</v>
      </c>
      <c r="G23" s="18">
        <v>5</v>
      </c>
    </row>
    <row r="24" spans="2:10" x14ac:dyDescent="0.25">
      <c r="C24" t="s">
        <v>14</v>
      </c>
      <c r="G24" s="19">
        <v>37000</v>
      </c>
    </row>
    <row r="25" spans="2:10" x14ac:dyDescent="0.25">
      <c r="C25" t="s">
        <v>8</v>
      </c>
      <c r="H25" s="3">
        <f>G23*(G24/1000)</f>
        <v>185</v>
      </c>
      <c r="I25" s="3">
        <v>0</v>
      </c>
      <c r="J25" s="3">
        <f>SUM(H25, I25)</f>
        <v>185</v>
      </c>
    </row>
    <row r="27" spans="2:10" x14ac:dyDescent="0.25">
      <c r="B27" t="s">
        <v>140</v>
      </c>
    </row>
    <row r="28" spans="2:10" x14ac:dyDescent="0.25">
      <c r="C28" t="s">
        <v>223</v>
      </c>
      <c r="G28" s="17">
        <v>3</v>
      </c>
    </row>
    <row r="29" spans="2:10" x14ac:dyDescent="0.25">
      <c r="C29" t="s">
        <v>224</v>
      </c>
      <c r="G29" s="18">
        <v>57</v>
      </c>
    </row>
    <row r="30" spans="2:10" x14ac:dyDescent="0.25">
      <c r="C30" t="s">
        <v>142</v>
      </c>
      <c r="H30" s="3">
        <f>G28*G29</f>
        <v>171</v>
      </c>
      <c r="I30" s="3">
        <v>0</v>
      </c>
      <c r="J30" s="3">
        <f>SUM(H30, I30)</f>
        <v>171</v>
      </c>
    </row>
    <row r="32" spans="2:10" x14ac:dyDescent="0.25">
      <c r="B32" t="s">
        <v>141</v>
      </c>
    </row>
    <row r="33" spans="1:10" x14ac:dyDescent="0.25">
      <c r="C33" t="s">
        <v>143</v>
      </c>
      <c r="G33" s="23">
        <v>0</v>
      </c>
    </row>
    <row r="34" spans="1:10" x14ac:dyDescent="0.25">
      <c r="C34" t="s">
        <v>145</v>
      </c>
      <c r="G34" s="22">
        <v>2.5000000000000001E-2</v>
      </c>
    </row>
    <row r="35" spans="1:10" x14ac:dyDescent="0.25">
      <c r="C35" t="s">
        <v>144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40</v>
      </c>
      <c r="I40" s="3">
        <v>0</v>
      </c>
      <c r="J40" s="3">
        <f t="shared" si="0"/>
        <v>40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15</v>
      </c>
      <c r="I42" s="3">
        <v>0</v>
      </c>
      <c r="J42" s="3">
        <f t="shared" si="0"/>
        <v>15</v>
      </c>
    </row>
    <row r="43" spans="1:10" x14ac:dyDescent="0.25">
      <c r="B43" t="s">
        <v>134</v>
      </c>
      <c r="G43" s="20">
        <v>7.0000000000000007E-2</v>
      </c>
      <c r="H43" s="3">
        <f>((SUM(H20, H25,H30,H35,H37:H39, H42)*0.5))*$G$43</f>
        <v>14.183645000000002</v>
      </c>
      <c r="I43" s="3">
        <f>((SUM(I20, I25,I30,I35,I37:I39, I42)*0.5))*$G$43</f>
        <v>0</v>
      </c>
      <c r="J43" s="3">
        <f t="shared" si="0"/>
        <v>14.183645000000002</v>
      </c>
    </row>
    <row r="45" spans="1:10" x14ac:dyDescent="0.25">
      <c r="B45" t="s">
        <v>35</v>
      </c>
      <c r="H45" s="3">
        <f>SUM(H20, H25, H30, H35, H37:H43)</f>
        <v>469.43064500000003</v>
      </c>
      <c r="I45" s="3">
        <f>SUM(I20, I25, I30, I35, I37:I43)</f>
        <v>0</v>
      </c>
      <c r="J45" s="3">
        <f>SUM(H45, I45)</f>
        <v>469.43064500000003</v>
      </c>
    </row>
    <row r="47" spans="1:10" x14ac:dyDescent="0.25">
      <c r="A47" s="7" t="s">
        <v>135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2" x14ac:dyDescent="0.25">
      <c r="H49" s="4"/>
      <c r="I49" s="4"/>
    </row>
    <row r="50" spans="2:12" x14ac:dyDescent="0.25">
      <c r="B50" t="s">
        <v>204</v>
      </c>
      <c r="H50" s="18">
        <v>0.99</v>
      </c>
      <c r="I50" s="18">
        <v>4.2</v>
      </c>
      <c r="J50" s="3">
        <f>SUM(H50, I50)</f>
        <v>5.19</v>
      </c>
    </row>
    <row r="51" spans="2:12" x14ac:dyDescent="0.25">
      <c r="B51" t="s">
        <v>174</v>
      </c>
      <c r="H51" s="18">
        <v>2.48</v>
      </c>
      <c r="I51" s="18">
        <v>10.59</v>
      </c>
      <c r="J51" s="3">
        <f t="shared" ref="J51:J52" si="1">SUM(H51, I51)</f>
        <v>13.07</v>
      </c>
    </row>
    <row r="52" spans="2:12" x14ac:dyDescent="0.25">
      <c r="B52" t="s">
        <v>205</v>
      </c>
      <c r="H52" s="18">
        <v>4.6100000000000003</v>
      </c>
      <c r="I52" s="18">
        <v>12.11</v>
      </c>
      <c r="J52" s="3">
        <f t="shared" si="1"/>
        <v>16.72</v>
      </c>
    </row>
    <row r="53" spans="2:12" x14ac:dyDescent="0.25">
      <c r="B53" t="s">
        <v>96</v>
      </c>
      <c r="H53" s="18">
        <v>2.99</v>
      </c>
      <c r="I53" s="18">
        <v>14.37</v>
      </c>
      <c r="J53" s="3">
        <f>SUM(H53, I53)</f>
        <v>17.36</v>
      </c>
    </row>
    <row r="54" spans="2:12" x14ac:dyDescent="0.25">
      <c r="B54" t="s">
        <v>31</v>
      </c>
      <c r="H54" s="18">
        <v>3.86</v>
      </c>
      <c r="I54" s="18">
        <v>14.16</v>
      </c>
      <c r="J54" s="3">
        <f t="shared" ref="J54:J66" si="2">SUM(H54, I54)</f>
        <v>18.02</v>
      </c>
    </row>
    <row r="55" spans="2:12" x14ac:dyDescent="0.25">
      <c r="B55" t="s">
        <v>97</v>
      </c>
      <c r="H55" s="18">
        <v>4.1500000000000004</v>
      </c>
      <c r="I55" s="18">
        <v>13.12</v>
      </c>
      <c r="J55" s="3">
        <f t="shared" si="2"/>
        <v>17.27</v>
      </c>
    </row>
    <row r="56" spans="2:12" x14ac:dyDescent="0.25">
      <c r="B56" t="s">
        <v>206</v>
      </c>
      <c r="H56" s="18">
        <v>9.81</v>
      </c>
      <c r="I56" s="18">
        <v>16.2</v>
      </c>
      <c r="J56" s="3">
        <f t="shared" si="2"/>
        <v>26.009999999999998</v>
      </c>
    </row>
    <row r="57" spans="2:12" x14ac:dyDescent="0.25">
      <c r="B57" t="s">
        <v>99</v>
      </c>
      <c r="H57" s="18">
        <v>0.96</v>
      </c>
      <c r="I57" s="18">
        <v>9.3800000000000008</v>
      </c>
      <c r="J57" s="3">
        <f t="shared" si="2"/>
        <v>10.34</v>
      </c>
    </row>
    <row r="58" spans="2:12" x14ac:dyDescent="0.25">
      <c r="B58" t="s">
        <v>99</v>
      </c>
      <c r="H58" s="18">
        <v>0.96</v>
      </c>
      <c r="I58" s="18">
        <v>9.3800000000000008</v>
      </c>
      <c r="J58" s="3">
        <f t="shared" si="2"/>
        <v>10.34</v>
      </c>
      <c r="L58" s="3"/>
    </row>
    <row r="59" spans="2:12" x14ac:dyDescent="0.25">
      <c r="B59" t="s">
        <v>100</v>
      </c>
      <c r="H59" s="18">
        <v>2.4900000000000002</v>
      </c>
      <c r="I59" s="18">
        <v>12.67</v>
      </c>
      <c r="J59" s="3">
        <f t="shared" si="2"/>
        <v>15.16</v>
      </c>
    </row>
    <row r="60" spans="2:12" x14ac:dyDescent="0.25">
      <c r="B60" t="s">
        <v>100</v>
      </c>
      <c r="H60" s="18">
        <v>2.4900000000000002</v>
      </c>
      <c r="I60" s="18">
        <v>12.67</v>
      </c>
      <c r="J60" s="3">
        <f t="shared" si="2"/>
        <v>15.16</v>
      </c>
    </row>
    <row r="61" spans="2:12" x14ac:dyDescent="0.25">
      <c r="B61" t="s">
        <v>33</v>
      </c>
      <c r="H61" s="18">
        <v>0</v>
      </c>
      <c r="I61" s="18">
        <v>0</v>
      </c>
      <c r="J61" s="3">
        <f t="shared" si="2"/>
        <v>0</v>
      </c>
    </row>
    <row r="62" spans="2:12" x14ac:dyDescent="0.25">
      <c r="B62" t="s">
        <v>33</v>
      </c>
      <c r="H62" s="18">
        <v>0</v>
      </c>
      <c r="I62" s="18">
        <v>0</v>
      </c>
      <c r="J62" s="3">
        <f t="shared" si="2"/>
        <v>0</v>
      </c>
    </row>
    <row r="63" spans="2:12" x14ac:dyDescent="0.25">
      <c r="B63" t="s">
        <v>33</v>
      </c>
      <c r="H63" s="18">
        <v>0</v>
      </c>
      <c r="I63" s="18">
        <v>0</v>
      </c>
      <c r="J63" s="3">
        <f t="shared" si="2"/>
        <v>0</v>
      </c>
    </row>
    <row r="64" spans="2:12" x14ac:dyDescent="0.25">
      <c r="B64" t="s">
        <v>33</v>
      </c>
      <c r="H64" s="18">
        <v>0</v>
      </c>
      <c r="I64" s="18">
        <v>0</v>
      </c>
      <c r="J64" s="3">
        <f t="shared" si="2"/>
        <v>0</v>
      </c>
    </row>
    <row r="65" spans="1:10" x14ac:dyDescent="0.25">
      <c r="H65" s="3"/>
      <c r="I65" s="3"/>
      <c r="J65" s="3"/>
    </row>
    <row r="66" spans="1:10" x14ac:dyDescent="0.25">
      <c r="B66" t="s">
        <v>35</v>
      </c>
      <c r="H66" s="3">
        <f>SUM((H50*$G$28), (H51*($G$33/1000)), H52:H64)</f>
        <v>35.290000000000006</v>
      </c>
      <c r="I66" s="3">
        <f>SUM((I50*$G$28), (I51*($G$33/1000)), I52:I64)</f>
        <v>126.66</v>
      </c>
      <c r="J66" s="3">
        <f t="shared" si="2"/>
        <v>161.94999999999999</v>
      </c>
    </row>
    <row r="68" spans="1:10" x14ac:dyDescent="0.25">
      <c r="A68" s="7" t="s">
        <v>36</v>
      </c>
    </row>
    <row r="69" spans="1:10" x14ac:dyDescent="0.25">
      <c r="H69" s="4" t="s">
        <v>11</v>
      </c>
      <c r="I69" s="4" t="s">
        <v>12</v>
      </c>
      <c r="J69" s="4" t="s">
        <v>6</v>
      </c>
    </row>
    <row r="71" spans="1:10" x14ac:dyDescent="0.25">
      <c r="B71" t="s">
        <v>37</v>
      </c>
      <c r="H71" s="18">
        <v>9.31</v>
      </c>
      <c r="I71" s="18">
        <v>33.08</v>
      </c>
      <c r="J71" s="3">
        <f>H71+I71</f>
        <v>42.39</v>
      </c>
    </row>
    <row r="72" spans="1:10" x14ac:dyDescent="0.25">
      <c r="B72" t="s">
        <v>38</v>
      </c>
    </row>
    <row r="73" spans="1:10" x14ac:dyDescent="0.25">
      <c r="C73" t="s">
        <v>131</v>
      </c>
      <c r="G73" s="18">
        <v>0.15</v>
      </c>
      <c r="H73" s="3">
        <f>$G$73*$I$5</f>
        <v>22.695</v>
      </c>
      <c r="I73" s="3">
        <v>0</v>
      </c>
      <c r="J73" s="3">
        <f>H73+I73</f>
        <v>22.695</v>
      </c>
    </row>
    <row r="75" spans="1:10" x14ac:dyDescent="0.25">
      <c r="B75" t="s">
        <v>39</v>
      </c>
    </row>
    <row r="76" spans="1:10" x14ac:dyDescent="0.25">
      <c r="C76" t="s">
        <v>132</v>
      </c>
      <c r="G76" s="21">
        <v>0.05</v>
      </c>
    </row>
    <row r="77" spans="1:10" x14ac:dyDescent="0.25">
      <c r="C77" t="s">
        <v>133</v>
      </c>
      <c r="G77" s="17">
        <v>3</v>
      </c>
    </row>
    <row r="78" spans="1:10" x14ac:dyDescent="0.25">
      <c r="C78" t="s">
        <v>40</v>
      </c>
      <c r="H78" s="3">
        <f>$G$76*$G$77*$I$5</f>
        <v>22.695000000000004</v>
      </c>
      <c r="I78" s="3">
        <v>0</v>
      </c>
      <c r="J78" s="3">
        <f>SUM(H78, I78)</f>
        <v>22.695000000000004</v>
      </c>
    </row>
    <row r="80" spans="1:10" x14ac:dyDescent="0.25">
      <c r="B80" t="s">
        <v>35</v>
      </c>
      <c r="H80" s="3">
        <f>SUM(H71, H73, H78)</f>
        <v>54.7</v>
      </c>
      <c r="I80" s="3">
        <f t="shared" ref="I80:J80" si="3">SUM(I71, I73, I78)</f>
        <v>33.08</v>
      </c>
      <c r="J80" s="3">
        <f t="shared" si="3"/>
        <v>87.780000000000015</v>
      </c>
    </row>
    <row r="82" spans="1:10" x14ac:dyDescent="0.25">
      <c r="A82" s="7" t="s">
        <v>43</v>
      </c>
    </row>
    <row r="84" spans="1:10" x14ac:dyDescent="0.25">
      <c r="B84" t="s">
        <v>41</v>
      </c>
    </row>
    <row r="85" spans="1:10" x14ac:dyDescent="0.25">
      <c r="C85" t="s">
        <v>44</v>
      </c>
      <c r="G85" s="18">
        <v>3.35</v>
      </c>
    </row>
    <row r="86" spans="1:10" x14ac:dyDescent="0.25">
      <c r="C86" t="s">
        <v>45</v>
      </c>
      <c r="G86" s="18">
        <v>20</v>
      </c>
    </row>
    <row r="87" spans="1:10" x14ac:dyDescent="0.25">
      <c r="C87" t="s">
        <v>46</v>
      </c>
      <c r="H87" s="3">
        <v>0</v>
      </c>
      <c r="I87" s="3">
        <f>G85*G86</f>
        <v>67</v>
      </c>
      <c r="J87" s="3">
        <f>SUM(H87, I87)</f>
        <v>67</v>
      </c>
    </row>
    <row r="89" spans="1:10" x14ac:dyDescent="0.25">
      <c r="B89" t="s">
        <v>42</v>
      </c>
    </row>
    <row r="90" spans="1:10" x14ac:dyDescent="0.25">
      <c r="C90" t="s">
        <v>44</v>
      </c>
      <c r="G90" s="18">
        <v>1</v>
      </c>
    </row>
    <row r="91" spans="1:10" x14ac:dyDescent="0.25">
      <c r="C91" t="s">
        <v>45</v>
      </c>
      <c r="G91" s="18">
        <v>25</v>
      </c>
    </row>
    <row r="92" spans="1:10" x14ac:dyDescent="0.25">
      <c r="C92" t="s">
        <v>42</v>
      </c>
      <c r="H92" s="3">
        <v>0</v>
      </c>
      <c r="I92" s="3">
        <f>G90*G91</f>
        <v>25</v>
      </c>
      <c r="J92" s="3">
        <f>SUM(H92, I92)</f>
        <v>25</v>
      </c>
    </row>
    <row r="94" spans="1:10" x14ac:dyDescent="0.25">
      <c r="B94" t="s">
        <v>35</v>
      </c>
      <c r="H94" s="3">
        <f>SUM(H87, H92)</f>
        <v>0</v>
      </c>
      <c r="I94" s="3">
        <f>SUM(I87, I92)</f>
        <v>92</v>
      </c>
      <c r="J94" s="3">
        <f>SUM(H94, I94)</f>
        <v>92</v>
      </c>
    </row>
    <row r="96" spans="1:10" x14ac:dyDescent="0.25">
      <c r="A96" s="7" t="s">
        <v>47</v>
      </c>
    </row>
    <row r="98" spans="1:10" x14ac:dyDescent="0.25">
      <c r="B98" t="s">
        <v>48</v>
      </c>
      <c r="H98" s="3">
        <v>0</v>
      </c>
      <c r="I98" s="18">
        <v>255</v>
      </c>
      <c r="J98" s="3">
        <f>SUM(H98, I98)</f>
        <v>255</v>
      </c>
    </row>
    <row r="99" spans="1:10" x14ac:dyDescent="0.25">
      <c r="H99" s="3"/>
      <c r="I99" s="3"/>
    </row>
    <row r="100" spans="1:10" x14ac:dyDescent="0.25">
      <c r="A100" s="7" t="s">
        <v>136</v>
      </c>
    </row>
    <row r="102" spans="1:10" x14ac:dyDescent="0.25">
      <c r="B102" t="s">
        <v>51</v>
      </c>
      <c r="H102" s="3">
        <f>SUM(H45, H66, H80, H94, H98)</f>
        <v>559.42064500000004</v>
      </c>
      <c r="I102" s="3">
        <f>SUM(I45, I66, I80, I94, I98)</f>
        <v>506.74</v>
      </c>
      <c r="J102" s="3">
        <f>SUM(H102, I102)</f>
        <v>1066.1606449999999</v>
      </c>
    </row>
    <row r="103" spans="1:10" x14ac:dyDescent="0.25">
      <c r="B103" t="s">
        <v>52</v>
      </c>
      <c r="H103" s="3">
        <f>H102/I5</f>
        <v>3.6974266027759417</v>
      </c>
      <c r="I103" s="3">
        <f>I102/I5</f>
        <v>3.349239920687376</v>
      </c>
      <c r="J103" s="3">
        <f>SUM(H103, I103)</f>
        <v>7.0466665234633172</v>
      </c>
    </row>
    <row r="105" spans="1:10" x14ac:dyDescent="0.25">
      <c r="A105" s="7" t="s">
        <v>137</v>
      </c>
    </row>
    <row r="107" spans="1:10" x14ac:dyDescent="0.25">
      <c r="B107" t="s">
        <v>51</v>
      </c>
      <c r="J107" s="3">
        <f>J12-H102</f>
        <v>736.36935500000016</v>
      </c>
    </row>
    <row r="108" spans="1:10" x14ac:dyDescent="0.25">
      <c r="B108" t="s">
        <v>52</v>
      </c>
      <c r="J108" s="3">
        <f>J107/I5</f>
        <v>4.8669488103106415</v>
      </c>
    </row>
    <row r="110" spans="1:10" x14ac:dyDescent="0.25">
      <c r="A110" s="7" t="s">
        <v>138</v>
      </c>
    </row>
    <row r="112" spans="1:10" x14ac:dyDescent="0.25">
      <c r="B112" t="s">
        <v>51</v>
      </c>
      <c r="J112" s="3">
        <f>J12-J102</f>
        <v>229.62935500000026</v>
      </c>
    </row>
    <row r="113" spans="2:10" x14ac:dyDescent="0.25">
      <c r="B113" t="s">
        <v>52</v>
      </c>
      <c r="J113" s="3">
        <f>J112/I5</f>
        <v>1.5177088896232667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14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101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46.3</v>
      </c>
      <c r="J5" s="3"/>
    </row>
    <row r="6" spans="1:10" x14ac:dyDescent="0.25">
      <c r="B6" t="s">
        <v>2</v>
      </c>
      <c r="I6" s="18">
        <v>24.85</v>
      </c>
      <c r="J6" s="2"/>
    </row>
    <row r="7" spans="1:10" x14ac:dyDescent="0.25">
      <c r="B7" t="s">
        <v>9</v>
      </c>
      <c r="J7" s="24">
        <f>I5*I6</f>
        <v>1150.5550000000001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35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1185.5550000000001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202</v>
      </c>
    </row>
    <row r="18" spans="2:10" x14ac:dyDescent="0.25">
      <c r="C18" t="s">
        <v>203</v>
      </c>
      <c r="G18" s="18">
        <v>29.78</v>
      </c>
    </row>
    <row r="19" spans="2:10" x14ac:dyDescent="0.25">
      <c r="C19" t="s">
        <v>153</v>
      </c>
      <c r="G19" s="30">
        <v>1.1499999999999999</v>
      </c>
    </row>
    <row r="20" spans="2:10" x14ac:dyDescent="0.25">
      <c r="C20" t="s">
        <v>8</v>
      </c>
      <c r="H20" s="3">
        <f>G18*G19</f>
        <v>34.247</v>
      </c>
      <c r="I20" s="3">
        <v>0</v>
      </c>
      <c r="J20" s="3">
        <f>SUM(H20, I20)</f>
        <v>34.247</v>
      </c>
    </row>
    <row r="21" spans="2:10" x14ac:dyDescent="0.25">
      <c r="H21" s="4"/>
      <c r="I21" s="4"/>
      <c r="J21" s="4"/>
    </row>
    <row r="22" spans="2:10" x14ac:dyDescent="0.25">
      <c r="B22" t="s">
        <v>7</v>
      </c>
    </row>
    <row r="23" spans="2:10" x14ac:dyDescent="0.25">
      <c r="C23" t="s">
        <v>13</v>
      </c>
      <c r="G23" s="18">
        <v>0.6</v>
      </c>
    </row>
    <row r="24" spans="2:10" x14ac:dyDescent="0.25">
      <c r="C24" t="s">
        <v>14</v>
      </c>
      <c r="G24" s="19">
        <v>170000</v>
      </c>
    </row>
    <row r="25" spans="2:10" x14ac:dyDescent="0.25">
      <c r="C25" t="s">
        <v>8</v>
      </c>
      <c r="H25" s="3">
        <f>G23*(G24/1000)</f>
        <v>102</v>
      </c>
      <c r="I25" s="3">
        <v>0</v>
      </c>
      <c r="J25" s="3">
        <f>SUM(H25, I25)</f>
        <v>102</v>
      </c>
    </row>
    <row r="27" spans="2:10" x14ac:dyDescent="0.25">
      <c r="B27" t="s">
        <v>140</v>
      </c>
    </row>
    <row r="28" spans="2:10" x14ac:dyDescent="0.25">
      <c r="C28" t="s">
        <v>223</v>
      </c>
      <c r="G28" s="17">
        <v>1</v>
      </c>
    </row>
    <row r="29" spans="2:10" x14ac:dyDescent="0.25">
      <c r="C29" t="s">
        <v>17</v>
      </c>
      <c r="G29" s="18">
        <v>57</v>
      </c>
    </row>
    <row r="30" spans="2:10" x14ac:dyDescent="0.25">
      <c r="C30" t="s">
        <v>142</v>
      </c>
      <c r="H30" s="3">
        <f>G28*G29</f>
        <v>57</v>
      </c>
      <c r="I30" s="3">
        <v>0</v>
      </c>
      <c r="J30" s="3">
        <f>SUM(H30, I30)</f>
        <v>57</v>
      </c>
    </row>
    <row r="32" spans="2:10" x14ac:dyDescent="0.25">
      <c r="B32" t="s">
        <v>141</v>
      </c>
    </row>
    <row r="33" spans="1:10" x14ac:dyDescent="0.25">
      <c r="C33" t="s">
        <v>143</v>
      </c>
      <c r="G33" s="23">
        <v>0</v>
      </c>
    </row>
    <row r="34" spans="1:10" x14ac:dyDescent="0.25">
      <c r="C34" t="s">
        <v>145</v>
      </c>
      <c r="G34" s="22">
        <v>2.5000000000000001E-2</v>
      </c>
    </row>
    <row r="35" spans="1:10" x14ac:dyDescent="0.25">
      <c r="C35" t="s">
        <v>144</v>
      </c>
      <c r="H35" s="3">
        <f>G33*G34</f>
        <v>0</v>
      </c>
      <c r="I35" s="3">
        <v>0</v>
      </c>
      <c r="J35" s="3">
        <f>SUM(H35, I35)</f>
        <v>0</v>
      </c>
    </row>
    <row r="37" spans="1:10" x14ac:dyDescent="0.25">
      <c r="B37" t="s">
        <v>23</v>
      </c>
      <c r="H37" s="18">
        <v>0</v>
      </c>
      <c r="I37" s="3">
        <v>0</v>
      </c>
      <c r="J37" s="3">
        <f t="shared" ref="J37:J43" si="0">SUM(H37, I37)</f>
        <v>0</v>
      </c>
    </row>
    <row r="38" spans="1:10" x14ac:dyDescent="0.25">
      <c r="B38" t="s">
        <v>24</v>
      </c>
      <c r="H38" s="18">
        <v>0</v>
      </c>
      <c r="I38" s="3">
        <v>0</v>
      </c>
      <c r="J38" s="3">
        <f t="shared" si="0"/>
        <v>0</v>
      </c>
    </row>
    <row r="39" spans="1:10" x14ac:dyDescent="0.25">
      <c r="B39" t="s">
        <v>25</v>
      </c>
      <c r="H39" s="18">
        <v>0</v>
      </c>
      <c r="I39" s="3">
        <v>0</v>
      </c>
      <c r="J39" s="3">
        <f t="shared" si="0"/>
        <v>0</v>
      </c>
    </row>
    <row r="40" spans="1:10" x14ac:dyDescent="0.25">
      <c r="B40" t="s">
        <v>26</v>
      </c>
      <c r="H40" s="18">
        <v>35</v>
      </c>
      <c r="I40" s="3">
        <v>0</v>
      </c>
      <c r="J40" s="3">
        <f t="shared" si="0"/>
        <v>35</v>
      </c>
    </row>
    <row r="41" spans="1:10" x14ac:dyDescent="0.25">
      <c r="B41" t="s">
        <v>27</v>
      </c>
      <c r="H41" s="18">
        <v>10</v>
      </c>
      <c r="I41" s="3">
        <v>0</v>
      </c>
      <c r="J41" s="3">
        <f t="shared" si="0"/>
        <v>10</v>
      </c>
    </row>
    <row r="42" spans="1:10" x14ac:dyDescent="0.25">
      <c r="B42" t="s">
        <v>28</v>
      </c>
      <c r="H42" s="18">
        <v>10</v>
      </c>
      <c r="I42" s="3">
        <v>0</v>
      </c>
      <c r="J42" s="3">
        <f t="shared" si="0"/>
        <v>10</v>
      </c>
    </row>
    <row r="43" spans="1:10" x14ac:dyDescent="0.25">
      <c r="B43" t="s">
        <v>134</v>
      </c>
      <c r="G43" s="20">
        <v>7.0000000000000007E-2</v>
      </c>
      <c r="H43" s="3">
        <f>((SUM(H20, H25,H30,H35,H37:H39,H42)*0.5))*$G$43</f>
        <v>7.1136450000000009</v>
      </c>
      <c r="I43" s="3">
        <v>0</v>
      </c>
      <c r="J43" s="3">
        <f t="shared" si="0"/>
        <v>7.1136450000000009</v>
      </c>
    </row>
    <row r="45" spans="1:10" x14ac:dyDescent="0.25">
      <c r="B45" t="s">
        <v>35</v>
      </c>
      <c r="H45" s="3">
        <f>SUM(H20, H25, H30, H35, H37:H43)</f>
        <v>255.36064500000001</v>
      </c>
      <c r="I45" s="3">
        <f>SUM(I20, I25, I30, I35, I37:I43)</f>
        <v>0</v>
      </c>
      <c r="J45" s="3">
        <f>SUM(H45, I45)</f>
        <v>255.36064500000001</v>
      </c>
    </row>
    <row r="47" spans="1:10" x14ac:dyDescent="0.25">
      <c r="A47" s="7" t="s">
        <v>135</v>
      </c>
    </row>
    <row r="48" spans="1:10" x14ac:dyDescent="0.25">
      <c r="H48" s="4" t="s">
        <v>11</v>
      </c>
      <c r="I48" s="4" t="s">
        <v>12</v>
      </c>
      <c r="J48" s="4" t="s">
        <v>6</v>
      </c>
    </row>
    <row r="49" spans="2:10" x14ac:dyDescent="0.25">
      <c r="H49" s="4"/>
      <c r="I49" s="4"/>
    </row>
    <row r="50" spans="2:10" x14ac:dyDescent="0.25">
      <c r="B50" t="s">
        <v>204</v>
      </c>
      <c r="H50" s="18">
        <v>0.99</v>
      </c>
      <c r="I50" s="18">
        <v>4.2</v>
      </c>
      <c r="J50" s="3">
        <f>SUM(H50, I50)</f>
        <v>5.19</v>
      </c>
    </row>
    <row r="51" spans="2:10" x14ac:dyDescent="0.25">
      <c r="B51" t="s">
        <v>174</v>
      </c>
      <c r="H51" s="18">
        <v>2.48</v>
      </c>
      <c r="I51" s="18">
        <v>10.59</v>
      </c>
      <c r="J51" s="3">
        <f t="shared" ref="J51:J52" si="1">SUM(H51, I51)</f>
        <v>13.07</v>
      </c>
    </row>
    <row r="52" spans="2:10" x14ac:dyDescent="0.25">
      <c r="B52" t="s">
        <v>205</v>
      </c>
      <c r="H52" s="18">
        <v>4.6100000000000003</v>
      </c>
      <c r="I52" s="18">
        <v>12.11</v>
      </c>
      <c r="J52" s="3">
        <f t="shared" si="1"/>
        <v>16.72</v>
      </c>
    </row>
    <row r="53" spans="2:10" x14ac:dyDescent="0.25">
      <c r="B53" t="s">
        <v>31</v>
      </c>
      <c r="H53" s="18">
        <v>3.86</v>
      </c>
      <c r="I53" s="18">
        <v>14.16</v>
      </c>
      <c r="J53" s="3">
        <f>SUM(H53, I53)</f>
        <v>18.02</v>
      </c>
    </row>
    <row r="54" spans="2:10" x14ac:dyDescent="0.25">
      <c r="B54" t="s">
        <v>97</v>
      </c>
      <c r="H54" s="18">
        <v>4.1500000000000004</v>
      </c>
      <c r="I54" s="18">
        <v>13.12</v>
      </c>
      <c r="J54" s="3">
        <f t="shared" ref="J54:J66" si="2">SUM(H54, I54)</f>
        <v>17.27</v>
      </c>
    </row>
    <row r="55" spans="2:10" x14ac:dyDescent="0.25">
      <c r="B55" t="s">
        <v>207</v>
      </c>
      <c r="H55" s="18">
        <v>9.81</v>
      </c>
      <c r="I55" s="18">
        <v>16.2</v>
      </c>
      <c r="J55" s="3">
        <f t="shared" si="2"/>
        <v>26.009999999999998</v>
      </c>
    </row>
    <row r="56" spans="2:10" x14ac:dyDescent="0.25">
      <c r="B56" t="s">
        <v>99</v>
      </c>
      <c r="H56" s="18">
        <v>0.96</v>
      </c>
      <c r="I56" s="18">
        <v>9.3800000000000008</v>
      </c>
      <c r="J56" s="3">
        <f t="shared" si="2"/>
        <v>10.34</v>
      </c>
    </row>
    <row r="57" spans="2:10" x14ac:dyDescent="0.25">
      <c r="B57" t="s">
        <v>99</v>
      </c>
      <c r="H57" s="18">
        <v>0.96</v>
      </c>
      <c r="I57" s="18">
        <v>9.3800000000000008</v>
      </c>
      <c r="J57" s="3">
        <f t="shared" si="2"/>
        <v>10.34</v>
      </c>
    </row>
    <row r="58" spans="2:10" x14ac:dyDescent="0.25">
      <c r="B58" t="s">
        <v>100</v>
      </c>
      <c r="H58" s="18">
        <v>2.4900000000000002</v>
      </c>
      <c r="I58" s="18">
        <v>12.67</v>
      </c>
      <c r="J58" s="3">
        <f t="shared" si="2"/>
        <v>15.16</v>
      </c>
    </row>
    <row r="59" spans="2:10" x14ac:dyDescent="0.25">
      <c r="B59" t="s">
        <v>100</v>
      </c>
      <c r="H59" s="18">
        <v>2.4900000000000002</v>
      </c>
      <c r="I59" s="18">
        <v>12.67</v>
      </c>
      <c r="J59" s="3">
        <f t="shared" si="2"/>
        <v>15.16</v>
      </c>
    </row>
    <row r="60" spans="2:10" x14ac:dyDescent="0.25">
      <c r="B60" t="s">
        <v>33</v>
      </c>
      <c r="H60" s="18">
        <v>0</v>
      </c>
      <c r="I60" s="18">
        <v>0</v>
      </c>
      <c r="J60" s="3">
        <f t="shared" si="2"/>
        <v>0</v>
      </c>
    </row>
    <row r="61" spans="2:10" x14ac:dyDescent="0.25">
      <c r="B61" t="s">
        <v>33</v>
      </c>
      <c r="H61" s="18">
        <v>0</v>
      </c>
      <c r="I61" s="18">
        <v>0</v>
      </c>
      <c r="J61" s="3">
        <f t="shared" si="2"/>
        <v>0</v>
      </c>
    </row>
    <row r="62" spans="2:10" x14ac:dyDescent="0.25">
      <c r="B62" t="s">
        <v>33</v>
      </c>
      <c r="H62" s="18">
        <v>0</v>
      </c>
      <c r="I62" s="18">
        <v>0</v>
      </c>
      <c r="J62" s="3">
        <f t="shared" si="2"/>
        <v>0</v>
      </c>
    </row>
    <row r="63" spans="2:10" x14ac:dyDescent="0.25">
      <c r="B63" t="s">
        <v>33</v>
      </c>
      <c r="H63" s="18">
        <v>0</v>
      </c>
      <c r="I63" s="18">
        <v>0</v>
      </c>
      <c r="J63" s="3">
        <f t="shared" si="2"/>
        <v>0</v>
      </c>
    </row>
    <row r="64" spans="2:10" x14ac:dyDescent="0.25">
      <c r="B64" t="s">
        <v>33</v>
      </c>
      <c r="H64" s="18">
        <v>0</v>
      </c>
      <c r="I64" s="18">
        <v>0</v>
      </c>
      <c r="J64" s="3">
        <f t="shared" si="2"/>
        <v>0</v>
      </c>
    </row>
    <row r="65" spans="1:10" x14ac:dyDescent="0.25">
      <c r="H65" s="3"/>
      <c r="I65" s="3"/>
      <c r="J65" s="3"/>
    </row>
    <row r="66" spans="1:10" x14ac:dyDescent="0.25">
      <c r="B66" t="s">
        <v>35</v>
      </c>
      <c r="H66" s="3">
        <f>SUM((H50*$G$28), (H51*($G$33/1000)), H52:H64)</f>
        <v>30.320000000000007</v>
      </c>
      <c r="I66" s="3">
        <f>SUM((I50*$G$28), (I51*($G$33/1000)), I52:I64)</f>
        <v>103.88999999999999</v>
      </c>
      <c r="J66" s="3">
        <f t="shared" si="2"/>
        <v>134.20999999999998</v>
      </c>
    </row>
    <row r="68" spans="1:10" x14ac:dyDescent="0.25">
      <c r="A68" s="7" t="s">
        <v>36</v>
      </c>
    </row>
    <row r="69" spans="1:10" x14ac:dyDescent="0.25">
      <c r="H69" s="4" t="s">
        <v>11</v>
      </c>
      <c r="I69" s="4" t="s">
        <v>12</v>
      </c>
      <c r="J69" s="4" t="s">
        <v>6</v>
      </c>
    </row>
    <row r="71" spans="1:10" x14ac:dyDescent="0.25">
      <c r="B71" t="s">
        <v>37</v>
      </c>
      <c r="H71" s="18">
        <v>12.08</v>
      </c>
      <c r="I71" s="18">
        <v>27.65</v>
      </c>
      <c r="J71" s="3">
        <f>H71+I71</f>
        <v>39.729999999999997</v>
      </c>
    </row>
    <row r="72" spans="1:10" x14ac:dyDescent="0.25">
      <c r="H72" s="26"/>
      <c r="I72" s="26"/>
      <c r="J72" s="3"/>
    </row>
    <row r="73" spans="1:10" x14ac:dyDescent="0.25">
      <c r="B73" t="s">
        <v>38</v>
      </c>
    </row>
    <row r="74" spans="1:10" x14ac:dyDescent="0.25">
      <c r="C74" t="s">
        <v>131</v>
      </c>
      <c r="G74" s="18">
        <v>0.15</v>
      </c>
      <c r="H74" s="3">
        <f>$G$74*$I$5</f>
        <v>6.9449999999999994</v>
      </c>
      <c r="I74" s="3">
        <v>0</v>
      </c>
      <c r="J74" s="3">
        <f>H74+I74</f>
        <v>6.9449999999999994</v>
      </c>
    </row>
    <row r="76" spans="1:10" x14ac:dyDescent="0.25">
      <c r="B76" t="s">
        <v>39</v>
      </c>
    </row>
    <row r="77" spans="1:10" x14ac:dyDescent="0.25">
      <c r="C77" t="s">
        <v>132</v>
      </c>
      <c r="G77" s="18">
        <v>0</v>
      </c>
    </row>
    <row r="78" spans="1:10" x14ac:dyDescent="0.25">
      <c r="C78" t="s">
        <v>133</v>
      </c>
      <c r="G78" s="17">
        <v>0</v>
      </c>
    </row>
    <row r="79" spans="1:10" x14ac:dyDescent="0.25">
      <c r="C79" t="s">
        <v>40</v>
      </c>
      <c r="H79" s="3">
        <f>$G$77*$G$78*$I$5</f>
        <v>0</v>
      </c>
      <c r="I79" s="3">
        <v>0</v>
      </c>
      <c r="J79" s="3">
        <f>SUM(H79, I79)</f>
        <v>0</v>
      </c>
    </row>
    <row r="81" spans="1:10" x14ac:dyDescent="0.25">
      <c r="B81" t="s">
        <v>35</v>
      </c>
      <c r="H81" s="3">
        <f>SUM(H71, H74, H79)</f>
        <v>19.024999999999999</v>
      </c>
      <c r="I81" s="3">
        <f t="shared" ref="I81:J81" si="3">SUM(I71, I74, I79)</f>
        <v>27.65</v>
      </c>
      <c r="J81" s="3">
        <f t="shared" si="3"/>
        <v>46.674999999999997</v>
      </c>
    </row>
    <row r="83" spans="1:10" x14ac:dyDescent="0.25">
      <c r="A83" s="7" t="s">
        <v>43</v>
      </c>
    </row>
    <row r="85" spans="1:10" x14ac:dyDescent="0.25">
      <c r="B85" t="s">
        <v>41</v>
      </c>
    </row>
    <row r="86" spans="1:10" x14ac:dyDescent="0.25">
      <c r="C86" t="s">
        <v>44</v>
      </c>
      <c r="G86" s="18">
        <v>1.95</v>
      </c>
    </row>
    <row r="87" spans="1:10" x14ac:dyDescent="0.25">
      <c r="C87" t="s">
        <v>45</v>
      </c>
      <c r="G87" s="18">
        <v>20</v>
      </c>
    </row>
    <row r="88" spans="1:10" x14ac:dyDescent="0.25">
      <c r="C88" t="s">
        <v>46</v>
      </c>
      <c r="H88" s="3">
        <v>0</v>
      </c>
      <c r="I88" s="3">
        <f>G86*G87</f>
        <v>39</v>
      </c>
      <c r="J88" s="3">
        <f>SUM(H88, I88)</f>
        <v>39</v>
      </c>
    </row>
    <row r="90" spans="1:10" x14ac:dyDescent="0.25">
      <c r="B90" t="s">
        <v>42</v>
      </c>
    </row>
    <row r="91" spans="1:10" x14ac:dyDescent="0.25">
      <c r="C91" t="s">
        <v>44</v>
      </c>
      <c r="G91" s="18">
        <v>1</v>
      </c>
    </row>
    <row r="92" spans="1:10" x14ac:dyDescent="0.25">
      <c r="C92" t="s">
        <v>45</v>
      </c>
      <c r="G92" s="18">
        <v>25</v>
      </c>
    </row>
    <row r="93" spans="1:10" x14ac:dyDescent="0.25">
      <c r="C93" t="s">
        <v>42</v>
      </c>
      <c r="H93" s="3">
        <v>0</v>
      </c>
      <c r="I93" s="3">
        <f>G91*G92</f>
        <v>25</v>
      </c>
      <c r="J93" s="3">
        <f>SUM(H93, I93)</f>
        <v>25</v>
      </c>
    </row>
    <row r="95" spans="1:10" x14ac:dyDescent="0.25">
      <c r="B95" t="s">
        <v>35</v>
      </c>
      <c r="H95" s="3">
        <f>SUM(H88, H93)</f>
        <v>0</v>
      </c>
      <c r="I95" s="3">
        <f>SUM(I88, I93)</f>
        <v>64</v>
      </c>
      <c r="J95" s="3">
        <f>SUM(H95, I95)</f>
        <v>64</v>
      </c>
    </row>
    <row r="97" spans="1:10" x14ac:dyDescent="0.25">
      <c r="A97" s="7" t="s">
        <v>47</v>
      </c>
    </row>
    <row r="99" spans="1:10" x14ac:dyDescent="0.25">
      <c r="B99" t="s">
        <v>48</v>
      </c>
      <c r="H99" s="3">
        <v>0</v>
      </c>
      <c r="I99" s="18">
        <v>255</v>
      </c>
      <c r="J99" s="3">
        <f>SUM(H99, I99)</f>
        <v>255</v>
      </c>
    </row>
    <row r="100" spans="1:10" x14ac:dyDescent="0.25">
      <c r="H100" s="3"/>
      <c r="I100" s="3"/>
    </row>
    <row r="101" spans="1:10" x14ac:dyDescent="0.25">
      <c r="A101" s="7" t="s">
        <v>136</v>
      </c>
    </row>
    <row r="103" spans="1:10" x14ac:dyDescent="0.25">
      <c r="B103" t="s">
        <v>51</v>
      </c>
      <c r="H103" s="3">
        <f>SUM(H45, H66, H81, H95, H99)</f>
        <v>304.705645</v>
      </c>
      <c r="I103" s="3">
        <f>SUM(I45, I66, I81, I95, I99)</f>
        <v>450.53999999999996</v>
      </c>
      <c r="J103" s="3">
        <f>SUM(H103, I103)</f>
        <v>755.24564499999997</v>
      </c>
    </row>
    <row r="104" spans="1:10" x14ac:dyDescent="0.25">
      <c r="B104" t="s">
        <v>52</v>
      </c>
      <c r="H104" s="3">
        <f>H103/I5</f>
        <v>6.5811154427645793</v>
      </c>
      <c r="I104" s="3">
        <f>I103/I5</f>
        <v>9.7308855291576677</v>
      </c>
      <c r="J104" s="3">
        <f>SUM(H104, I104)</f>
        <v>16.312000971922245</v>
      </c>
    </row>
    <row r="106" spans="1:10" x14ac:dyDescent="0.25">
      <c r="A106" s="7" t="s">
        <v>137</v>
      </c>
    </row>
    <row r="108" spans="1:10" x14ac:dyDescent="0.25">
      <c r="B108" t="s">
        <v>51</v>
      </c>
      <c r="J108" s="3">
        <f>J12-H103</f>
        <v>880.84935500000006</v>
      </c>
    </row>
    <row r="109" spans="1:10" x14ac:dyDescent="0.25">
      <c r="B109" t="s">
        <v>52</v>
      </c>
      <c r="J109" s="3">
        <f>J108/I5</f>
        <v>19.024824082073437</v>
      </c>
    </row>
    <row r="111" spans="1:10" x14ac:dyDescent="0.25">
      <c r="A111" s="7" t="s">
        <v>138</v>
      </c>
    </row>
    <row r="113" spans="2:10" x14ac:dyDescent="0.25">
      <c r="B113" t="s">
        <v>51</v>
      </c>
      <c r="J113" s="3">
        <f>J12-J103</f>
        <v>430.3093550000001</v>
      </c>
    </row>
    <row r="114" spans="2:10" x14ac:dyDescent="0.25">
      <c r="B114" t="s">
        <v>52</v>
      </c>
      <c r="J114" s="3">
        <f>J113/I5</f>
        <v>9.293938552915769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17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155</v>
      </c>
      <c r="G1" s="16"/>
    </row>
    <row r="3" spans="1:10" x14ac:dyDescent="0.25">
      <c r="A3" s="7" t="s">
        <v>1</v>
      </c>
    </row>
    <row r="5" spans="1:10" x14ac:dyDescent="0.25">
      <c r="B5" t="s">
        <v>147</v>
      </c>
      <c r="I5" s="17">
        <v>60</v>
      </c>
      <c r="J5" s="3"/>
    </row>
    <row r="6" spans="1:10" x14ac:dyDescent="0.25">
      <c r="B6" t="s">
        <v>148</v>
      </c>
      <c r="I6" s="17">
        <v>1</v>
      </c>
      <c r="J6" s="3"/>
    </row>
    <row r="7" spans="1:10" x14ac:dyDescent="0.25">
      <c r="B7" t="s">
        <v>149</v>
      </c>
      <c r="I7" s="18">
        <v>6.15</v>
      </c>
      <c r="J7" s="2"/>
    </row>
    <row r="8" spans="1:10" x14ac:dyDescent="0.25">
      <c r="B8" t="s">
        <v>150</v>
      </c>
      <c r="I8" s="18">
        <v>180</v>
      </c>
      <c r="J8" s="2"/>
    </row>
    <row r="9" spans="1:10" x14ac:dyDescent="0.25">
      <c r="B9" t="s">
        <v>9</v>
      </c>
      <c r="J9" s="24">
        <f>(I5*I7)+(I6*I8)</f>
        <v>549</v>
      </c>
    </row>
    <row r="10" spans="1:10" x14ac:dyDescent="0.25">
      <c r="B10" t="s">
        <v>4</v>
      </c>
      <c r="J10" s="18">
        <v>0</v>
      </c>
    </row>
    <row r="11" spans="1:10" x14ac:dyDescent="0.25">
      <c r="B11" t="s">
        <v>5</v>
      </c>
      <c r="J11" s="18">
        <v>0</v>
      </c>
    </row>
    <row r="12" spans="1:10" x14ac:dyDescent="0.25">
      <c r="B12" t="s">
        <v>10</v>
      </c>
      <c r="J12" s="18">
        <v>0</v>
      </c>
    </row>
    <row r="14" spans="1:10" x14ac:dyDescent="0.25">
      <c r="B14" t="s">
        <v>6</v>
      </c>
      <c r="J14" s="24">
        <f>SUM(J9:J12)</f>
        <v>549</v>
      </c>
    </row>
    <row r="16" spans="1:10" x14ac:dyDescent="0.25">
      <c r="A16" s="7" t="s">
        <v>34</v>
      </c>
    </row>
    <row r="17" spans="2:10" x14ac:dyDescent="0.25">
      <c r="H17" s="4" t="s">
        <v>11</v>
      </c>
      <c r="I17" s="4" t="s">
        <v>12</v>
      </c>
      <c r="J17" s="4" t="s">
        <v>6</v>
      </c>
    </row>
    <row r="18" spans="2:10" x14ac:dyDescent="0.25">
      <c r="H18" s="4"/>
      <c r="I18" s="4"/>
      <c r="J18" s="4"/>
    </row>
    <row r="19" spans="2:10" x14ac:dyDescent="0.25">
      <c r="B19" t="s">
        <v>151</v>
      </c>
    </row>
    <row r="20" spans="2:10" x14ac:dyDescent="0.25">
      <c r="C20" t="s">
        <v>154</v>
      </c>
      <c r="G20" s="18">
        <v>13</v>
      </c>
    </row>
    <row r="21" spans="2:10" x14ac:dyDescent="0.25">
      <c r="C21" t="s">
        <v>153</v>
      </c>
      <c r="G21" s="23">
        <v>2.5</v>
      </c>
    </row>
    <row r="22" spans="2:10" x14ac:dyDescent="0.25">
      <c r="C22" t="s">
        <v>8</v>
      </c>
      <c r="H22" s="3">
        <f>G20*G21</f>
        <v>32.5</v>
      </c>
      <c r="I22" s="3">
        <v>0</v>
      </c>
      <c r="J22" s="3">
        <f>SUM(H22, I22)</f>
        <v>32.5</v>
      </c>
    </row>
    <row r="24" spans="2:10" x14ac:dyDescent="0.25">
      <c r="B24" t="s">
        <v>152</v>
      </c>
    </row>
    <row r="25" spans="2:10" x14ac:dyDescent="0.25">
      <c r="C25" t="s">
        <v>154</v>
      </c>
      <c r="G25" s="18">
        <v>4.75</v>
      </c>
    </row>
    <row r="26" spans="2:10" x14ac:dyDescent="0.25">
      <c r="C26" t="s">
        <v>153</v>
      </c>
      <c r="G26" s="23">
        <v>16</v>
      </c>
    </row>
    <row r="27" spans="2:10" x14ac:dyDescent="0.25">
      <c r="C27" t="s">
        <v>8</v>
      </c>
      <c r="H27" s="3">
        <f>G25*G26</f>
        <v>76</v>
      </c>
      <c r="I27" s="3">
        <v>0</v>
      </c>
      <c r="J27" s="3">
        <f>SUM(H27, I27)</f>
        <v>76</v>
      </c>
    </row>
    <row r="29" spans="2:10" x14ac:dyDescent="0.25">
      <c r="B29" t="s">
        <v>140</v>
      </c>
    </row>
    <row r="30" spans="2:10" x14ac:dyDescent="0.25">
      <c r="C30" t="s">
        <v>16</v>
      </c>
      <c r="G30" s="17">
        <v>1</v>
      </c>
    </row>
    <row r="31" spans="2:10" x14ac:dyDescent="0.25">
      <c r="C31" t="s">
        <v>170</v>
      </c>
      <c r="G31" s="18">
        <v>57</v>
      </c>
    </row>
    <row r="32" spans="2:10" x14ac:dyDescent="0.25">
      <c r="C32" t="s">
        <v>142</v>
      </c>
      <c r="H32" s="3">
        <f>G30*G31</f>
        <v>57</v>
      </c>
      <c r="I32" s="3">
        <v>0</v>
      </c>
      <c r="J32" s="3">
        <f>SUM(H32, I32)</f>
        <v>57</v>
      </c>
    </row>
    <row r="34" spans="2:10" x14ac:dyDescent="0.25">
      <c r="B34" t="s">
        <v>141</v>
      </c>
    </row>
    <row r="35" spans="2:10" x14ac:dyDescent="0.25">
      <c r="C35" t="s">
        <v>143</v>
      </c>
      <c r="G35" s="23">
        <v>0</v>
      </c>
    </row>
    <row r="36" spans="2:10" x14ac:dyDescent="0.25">
      <c r="C36" t="s">
        <v>145</v>
      </c>
      <c r="G36" s="22">
        <v>0</v>
      </c>
    </row>
    <row r="37" spans="2:10" x14ac:dyDescent="0.25">
      <c r="C37" t="s">
        <v>144</v>
      </c>
      <c r="H37" s="3">
        <f>G35*G36</f>
        <v>0</v>
      </c>
      <c r="I37" s="3">
        <v>0</v>
      </c>
      <c r="J37" s="3">
        <f>SUM(H37, I37)</f>
        <v>0</v>
      </c>
    </row>
    <row r="39" spans="2:10" x14ac:dyDescent="0.25">
      <c r="B39" t="s">
        <v>23</v>
      </c>
      <c r="H39" s="18">
        <v>0</v>
      </c>
      <c r="I39" s="3">
        <v>0</v>
      </c>
      <c r="J39" s="3">
        <f t="shared" ref="J39:J45" si="0">SUM(H39, I39)</f>
        <v>0</v>
      </c>
    </row>
    <row r="40" spans="2:10" x14ac:dyDescent="0.25">
      <c r="B40" t="s">
        <v>24</v>
      </c>
      <c r="H40" s="18">
        <v>0</v>
      </c>
      <c r="I40" s="3">
        <v>0</v>
      </c>
      <c r="J40" s="3">
        <f t="shared" si="0"/>
        <v>0</v>
      </c>
    </row>
    <row r="41" spans="2:10" x14ac:dyDescent="0.25">
      <c r="B41" t="s">
        <v>25</v>
      </c>
      <c r="H41" s="18">
        <v>0</v>
      </c>
      <c r="I41" s="3">
        <v>0</v>
      </c>
      <c r="J41" s="3">
        <f t="shared" si="0"/>
        <v>0</v>
      </c>
    </row>
    <row r="42" spans="2:10" x14ac:dyDescent="0.25">
      <c r="B42" t="s">
        <v>26</v>
      </c>
      <c r="H42" s="18">
        <v>0</v>
      </c>
      <c r="I42" s="3">
        <v>0</v>
      </c>
      <c r="J42" s="3">
        <f t="shared" si="0"/>
        <v>0</v>
      </c>
    </row>
    <row r="43" spans="2:10" x14ac:dyDescent="0.25">
      <c r="B43" t="s">
        <v>27</v>
      </c>
      <c r="H43" s="18">
        <v>10</v>
      </c>
      <c r="I43" s="3">
        <v>0</v>
      </c>
      <c r="J43" s="3">
        <f t="shared" si="0"/>
        <v>10</v>
      </c>
    </row>
    <row r="44" spans="2:10" x14ac:dyDescent="0.25">
      <c r="B44" t="s">
        <v>28</v>
      </c>
      <c r="H44" s="18">
        <v>20</v>
      </c>
      <c r="I44" s="3">
        <v>0</v>
      </c>
      <c r="J44" s="3">
        <f t="shared" si="0"/>
        <v>20</v>
      </c>
    </row>
    <row r="45" spans="2:10" x14ac:dyDescent="0.25">
      <c r="B45" t="s">
        <v>134</v>
      </c>
      <c r="G45" s="20">
        <v>7.0000000000000007E-2</v>
      </c>
      <c r="H45" s="3">
        <f>((SUM(H22,H27, H32,H37,H39:H41,H44)*0.5))*$G$45</f>
        <v>6.4925000000000006</v>
      </c>
      <c r="I45" s="3">
        <v>0</v>
      </c>
      <c r="J45" s="3">
        <f t="shared" si="0"/>
        <v>6.4925000000000006</v>
      </c>
    </row>
    <row r="47" spans="2:10" x14ac:dyDescent="0.25">
      <c r="B47" t="s">
        <v>35</v>
      </c>
      <c r="H47" s="3">
        <f>SUM(H22, H32, H37, H39:H45)</f>
        <v>125.99250000000001</v>
      </c>
      <c r="I47" s="3">
        <f>SUM(I22, I32, I37, I39:I45)</f>
        <v>0</v>
      </c>
      <c r="J47" s="3">
        <f>SUM(H47, I47)</f>
        <v>125.99250000000001</v>
      </c>
    </row>
    <row r="49" spans="1:12" x14ac:dyDescent="0.25">
      <c r="A49" s="7" t="s">
        <v>135</v>
      </c>
    </row>
    <row r="50" spans="1:12" x14ac:dyDescent="0.25">
      <c r="H50" s="4" t="s">
        <v>11</v>
      </c>
      <c r="I50" s="4" t="s">
        <v>12</v>
      </c>
      <c r="J50" s="4" t="s">
        <v>6</v>
      </c>
    </row>
    <row r="51" spans="1:12" x14ac:dyDescent="0.25">
      <c r="H51" s="4"/>
      <c r="I51" s="4"/>
    </row>
    <row r="52" spans="1:12" x14ac:dyDescent="0.25">
      <c r="B52" t="s">
        <v>204</v>
      </c>
      <c r="H52" s="18">
        <v>0.99</v>
      </c>
      <c r="I52" s="18">
        <v>4.2</v>
      </c>
      <c r="J52" s="3">
        <f>SUM(H52, I52)</f>
        <v>5.19</v>
      </c>
      <c r="L52" s="3"/>
    </row>
    <row r="53" spans="1:12" x14ac:dyDescent="0.25">
      <c r="B53" t="s">
        <v>139</v>
      </c>
      <c r="H53" s="18">
        <v>3.86</v>
      </c>
      <c r="I53" s="18">
        <v>14.16</v>
      </c>
      <c r="J53" s="3">
        <f t="shared" ref="J53:J66" si="1">SUM(H53, I53)</f>
        <v>18.02</v>
      </c>
      <c r="L53" s="3"/>
    </row>
    <row r="54" spans="1:12" x14ac:dyDescent="0.25">
      <c r="B54" t="s">
        <v>156</v>
      </c>
      <c r="H54" s="18">
        <v>1.8</v>
      </c>
      <c r="I54" s="18">
        <v>9.74</v>
      </c>
      <c r="J54" s="3">
        <f t="shared" si="1"/>
        <v>11.540000000000001</v>
      </c>
      <c r="L54" s="3"/>
    </row>
    <row r="55" spans="1:12" x14ac:dyDescent="0.25">
      <c r="B55" t="s">
        <v>156</v>
      </c>
      <c r="H55" s="18">
        <v>1.8</v>
      </c>
      <c r="I55" s="18">
        <v>9.74</v>
      </c>
      <c r="J55" s="3">
        <f t="shared" si="1"/>
        <v>11.540000000000001</v>
      </c>
    </row>
    <row r="56" spans="1:12" x14ac:dyDescent="0.25">
      <c r="B56" t="s">
        <v>157</v>
      </c>
      <c r="H56" s="18">
        <v>5.7</v>
      </c>
      <c r="I56" s="18">
        <v>13.38</v>
      </c>
      <c r="J56" s="3">
        <f t="shared" si="1"/>
        <v>19.080000000000002</v>
      </c>
    </row>
    <row r="57" spans="1:12" x14ac:dyDescent="0.25">
      <c r="B57" t="s">
        <v>33</v>
      </c>
      <c r="H57" s="18">
        <v>0</v>
      </c>
      <c r="I57" s="18">
        <v>0</v>
      </c>
      <c r="J57" s="3">
        <f t="shared" si="1"/>
        <v>0</v>
      </c>
    </row>
    <row r="58" spans="1:12" x14ac:dyDescent="0.25">
      <c r="B58" t="s">
        <v>33</v>
      </c>
      <c r="H58" s="18">
        <v>0</v>
      </c>
      <c r="I58" s="18">
        <v>0</v>
      </c>
      <c r="J58" s="3">
        <f t="shared" si="1"/>
        <v>0</v>
      </c>
    </row>
    <row r="59" spans="1:12" x14ac:dyDescent="0.25">
      <c r="B59" t="s">
        <v>33</v>
      </c>
      <c r="H59" s="18">
        <v>0</v>
      </c>
      <c r="I59" s="18">
        <v>0</v>
      </c>
      <c r="J59" s="3">
        <f t="shared" si="1"/>
        <v>0</v>
      </c>
    </row>
    <row r="60" spans="1:12" x14ac:dyDescent="0.25">
      <c r="B60" t="s">
        <v>33</v>
      </c>
      <c r="H60" s="18">
        <v>0</v>
      </c>
      <c r="I60" s="18">
        <v>0</v>
      </c>
      <c r="J60" s="3">
        <f t="shared" si="1"/>
        <v>0</v>
      </c>
    </row>
    <row r="61" spans="1:12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1:12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1:12" x14ac:dyDescent="0.25">
      <c r="B63" t="s">
        <v>33</v>
      </c>
      <c r="H63" s="18">
        <v>0</v>
      </c>
      <c r="I63" s="18">
        <v>0</v>
      </c>
      <c r="J63" s="3">
        <f t="shared" si="1"/>
        <v>0</v>
      </c>
    </row>
    <row r="64" spans="1:12" x14ac:dyDescent="0.25">
      <c r="B64" t="s">
        <v>33</v>
      </c>
      <c r="H64" s="18">
        <v>0</v>
      </c>
      <c r="I64" s="18">
        <v>0</v>
      </c>
      <c r="J64" s="3">
        <f t="shared" si="1"/>
        <v>0</v>
      </c>
    </row>
    <row r="65" spans="1:10" x14ac:dyDescent="0.25">
      <c r="H65" s="3"/>
      <c r="I65" s="3"/>
      <c r="J65" s="3"/>
    </row>
    <row r="66" spans="1:10" x14ac:dyDescent="0.25">
      <c r="B66" t="s">
        <v>35</v>
      </c>
      <c r="H66" s="3">
        <f>SUM((H52*$G$30), H53:H64)</f>
        <v>14.149999999999999</v>
      </c>
      <c r="I66" s="3">
        <f>SUM((I52*$G$30), I53:I64)</f>
        <v>51.220000000000006</v>
      </c>
      <c r="J66" s="3">
        <f t="shared" si="1"/>
        <v>65.37</v>
      </c>
    </row>
    <row r="68" spans="1:10" x14ac:dyDescent="0.25">
      <c r="A68" s="7" t="s">
        <v>36</v>
      </c>
    </row>
    <row r="69" spans="1:10" x14ac:dyDescent="0.25">
      <c r="H69" s="4" t="s">
        <v>11</v>
      </c>
      <c r="I69" s="4" t="s">
        <v>12</v>
      </c>
      <c r="J69" s="4" t="s">
        <v>6</v>
      </c>
    </row>
    <row r="71" spans="1:10" x14ac:dyDescent="0.25">
      <c r="B71" t="s">
        <v>164</v>
      </c>
      <c r="H71" s="18">
        <v>11.58</v>
      </c>
      <c r="I71" s="18">
        <v>28.98</v>
      </c>
      <c r="J71" s="3">
        <f>H71+I71</f>
        <v>40.56</v>
      </c>
    </row>
    <row r="72" spans="1:10" x14ac:dyDescent="0.25">
      <c r="H72" s="26"/>
      <c r="I72" s="26"/>
      <c r="J72" s="3"/>
    </row>
    <row r="73" spans="1:10" x14ac:dyDescent="0.25">
      <c r="B73" t="s">
        <v>158</v>
      </c>
      <c r="H73" s="26"/>
      <c r="I73" s="26"/>
      <c r="J73" s="3"/>
    </row>
    <row r="74" spans="1:10" x14ac:dyDescent="0.25">
      <c r="C74" t="s">
        <v>159</v>
      </c>
      <c r="G74" s="27">
        <v>1</v>
      </c>
      <c r="H74" s="26"/>
      <c r="I74" s="26"/>
      <c r="J74" s="3"/>
    </row>
    <row r="75" spans="1:10" x14ac:dyDescent="0.25">
      <c r="C75" t="s">
        <v>171</v>
      </c>
      <c r="H75" s="18">
        <v>4.17</v>
      </c>
      <c r="I75" s="18">
        <v>10.17</v>
      </c>
      <c r="J75" s="3"/>
    </row>
    <row r="76" spans="1:10" x14ac:dyDescent="0.25">
      <c r="C76" t="s">
        <v>172</v>
      </c>
      <c r="H76" s="18">
        <v>2.0499999999999998</v>
      </c>
      <c r="I76" s="18">
        <v>5.84</v>
      </c>
      <c r="J76" s="3"/>
    </row>
    <row r="77" spans="1:10" x14ac:dyDescent="0.25">
      <c r="C77" t="s">
        <v>173</v>
      </c>
      <c r="H77" s="18">
        <v>5.1100000000000003</v>
      </c>
      <c r="I77" s="18">
        <v>17.8</v>
      </c>
      <c r="J77" s="3"/>
    </row>
    <row r="78" spans="1:10" x14ac:dyDescent="0.25">
      <c r="H78" s="26"/>
      <c r="I78" s="26"/>
      <c r="J78" s="3"/>
    </row>
    <row r="79" spans="1:10" x14ac:dyDescent="0.25">
      <c r="C79" t="s">
        <v>35</v>
      </c>
      <c r="H79" s="26">
        <f>SUM(H75*$G$74)+(H76*$G$74)+(H77*$I$6)</f>
        <v>11.33</v>
      </c>
      <c r="I79" s="26">
        <f>SUM(I75*$G$74)+(I76*$G$74)+(I77*$I$6)</f>
        <v>33.81</v>
      </c>
      <c r="J79" s="3">
        <f>SUM(H79, I79)</f>
        <v>45.14</v>
      </c>
    </row>
    <row r="80" spans="1:10" x14ac:dyDescent="0.25">
      <c r="H80" s="26"/>
      <c r="I80" s="26"/>
      <c r="J80" s="3"/>
    </row>
    <row r="81" spans="1:10" x14ac:dyDescent="0.25">
      <c r="B81" t="s">
        <v>160</v>
      </c>
    </row>
    <row r="82" spans="1:10" x14ac:dyDescent="0.25">
      <c r="C82" t="s">
        <v>131</v>
      </c>
      <c r="G82" s="18">
        <v>0.15</v>
      </c>
      <c r="H82" s="3">
        <f>$G$82*$I$5</f>
        <v>9</v>
      </c>
      <c r="I82" s="3">
        <v>0</v>
      </c>
      <c r="J82" s="3">
        <f>SUM(H82, I82)</f>
        <v>9</v>
      </c>
    </row>
    <row r="84" spans="1:10" x14ac:dyDescent="0.25">
      <c r="B84" t="s">
        <v>161</v>
      </c>
    </row>
    <row r="85" spans="1:10" x14ac:dyDescent="0.25">
      <c r="C85" t="s">
        <v>162</v>
      </c>
      <c r="G85" s="28"/>
      <c r="H85" s="21">
        <v>1.05</v>
      </c>
      <c r="I85" s="18">
        <v>2.96</v>
      </c>
    </row>
    <row r="87" spans="1:10" x14ac:dyDescent="0.25">
      <c r="B87" t="s">
        <v>35</v>
      </c>
      <c r="H87" s="3">
        <f xml:space="preserve"> SUM(H71, H79, H82, H85*$I$6)</f>
        <v>32.96</v>
      </c>
      <c r="I87" s="3">
        <f xml:space="preserve"> SUM(I71, I79, I82, I85*$I$6)</f>
        <v>65.75</v>
      </c>
      <c r="J87" s="3">
        <f>SUM(H87, I87)</f>
        <v>98.710000000000008</v>
      </c>
    </row>
    <row r="89" spans="1:10" x14ac:dyDescent="0.25">
      <c r="A89" s="7" t="s">
        <v>43</v>
      </c>
    </row>
    <row r="91" spans="1:10" x14ac:dyDescent="0.25">
      <c r="B91" t="s">
        <v>41</v>
      </c>
    </row>
    <row r="92" spans="1:10" x14ac:dyDescent="0.25">
      <c r="C92" t="s">
        <v>44</v>
      </c>
      <c r="G92" s="18">
        <v>1.55</v>
      </c>
    </row>
    <row r="93" spans="1:10" x14ac:dyDescent="0.25">
      <c r="C93" t="s">
        <v>45</v>
      </c>
      <c r="G93" s="18">
        <v>20</v>
      </c>
    </row>
    <row r="94" spans="1:10" x14ac:dyDescent="0.25">
      <c r="C94" t="s">
        <v>46</v>
      </c>
      <c r="H94" s="3">
        <v>0</v>
      </c>
      <c r="I94" s="3">
        <f>G92*G93</f>
        <v>31</v>
      </c>
      <c r="J94" s="3">
        <f>SUM(H94, I94)</f>
        <v>31</v>
      </c>
    </row>
    <row r="96" spans="1:10" x14ac:dyDescent="0.25">
      <c r="B96" t="s">
        <v>42</v>
      </c>
    </row>
    <row r="97" spans="1:10" x14ac:dyDescent="0.25">
      <c r="C97" t="s">
        <v>44</v>
      </c>
      <c r="G97" s="18">
        <v>1</v>
      </c>
    </row>
    <row r="98" spans="1:10" x14ac:dyDescent="0.25">
      <c r="C98" t="s">
        <v>45</v>
      </c>
      <c r="G98" s="18">
        <v>25</v>
      </c>
    </row>
    <row r="99" spans="1:10" x14ac:dyDescent="0.25">
      <c r="C99" t="s">
        <v>42</v>
      </c>
      <c r="H99" s="3">
        <v>0</v>
      </c>
      <c r="I99" s="3">
        <f>G97*G98</f>
        <v>25</v>
      </c>
      <c r="J99" s="3">
        <f>SUM(H99, I99)</f>
        <v>25</v>
      </c>
    </row>
    <row r="101" spans="1:10" x14ac:dyDescent="0.25">
      <c r="B101" t="s">
        <v>35</v>
      </c>
      <c r="H101" s="3">
        <f>SUM(H94, H99)</f>
        <v>0</v>
      </c>
      <c r="I101" s="3">
        <f>SUM(I94, I99)</f>
        <v>56</v>
      </c>
      <c r="J101" s="3">
        <f>SUM(H101, I101)</f>
        <v>56</v>
      </c>
    </row>
    <row r="103" spans="1:10" x14ac:dyDescent="0.25">
      <c r="A103" s="7" t="s">
        <v>47</v>
      </c>
    </row>
    <row r="105" spans="1:10" x14ac:dyDescent="0.25">
      <c r="B105" t="s">
        <v>48</v>
      </c>
      <c r="H105" s="3">
        <v>0</v>
      </c>
      <c r="I105" s="18">
        <v>255</v>
      </c>
      <c r="J105" s="3">
        <f>SUM(H105, I105)</f>
        <v>255</v>
      </c>
    </row>
    <row r="106" spans="1:10" x14ac:dyDescent="0.25">
      <c r="H106" s="3"/>
      <c r="I106" s="3"/>
    </row>
    <row r="107" spans="1:10" x14ac:dyDescent="0.25">
      <c r="A107" s="7" t="s">
        <v>136</v>
      </c>
    </row>
    <row r="109" spans="1:10" x14ac:dyDescent="0.25">
      <c r="B109" t="s">
        <v>51</v>
      </c>
      <c r="H109" s="3">
        <f>SUM(H47, H66, H87, H101, H105)</f>
        <v>173.10250000000002</v>
      </c>
      <c r="I109" s="3">
        <f>SUM(I47, I66, I87, I101, I105)</f>
        <v>427.97</v>
      </c>
      <c r="J109" s="3">
        <f>SUM(H109, I109)</f>
        <v>601.07249999999999</v>
      </c>
    </row>
    <row r="111" spans="1:10" x14ac:dyDescent="0.25">
      <c r="A111" s="7" t="s">
        <v>137</v>
      </c>
    </row>
    <row r="113" spans="1:10" x14ac:dyDescent="0.25">
      <c r="B113" t="s">
        <v>51</v>
      </c>
      <c r="J113" s="3">
        <f>J14-H109</f>
        <v>375.89749999999998</v>
      </c>
    </row>
    <row r="115" spans="1:10" x14ac:dyDescent="0.25">
      <c r="A115" s="7" t="s">
        <v>138</v>
      </c>
    </row>
    <row r="117" spans="1:10" x14ac:dyDescent="0.25">
      <c r="B117" t="s">
        <v>51</v>
      </c>
      <c r="J117" s="3">
        <f>J14-J109</f>
        <v>-52.072499999999991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  <ignoredErrors>
    <ignoredError sqref="H79:I79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103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116</v>
      </c>
      <c r="F1" s="16"/>
    </row>
    <row r="3" spans="1:10" x14ac:dyDescent="0.25">
      <c r="A3" s="7" t="s">
        <v>1</v>
      </c>
    </row>
    <row r="5" spans="1:10" x14ac:dyDescent="0.25">
      <c r="B5" t="s">
        <v>3</v>
      </c>
      <c r="I5" s="18">
        <v>4.5</v>
      </c>
      <c r="J5" s="3"/>
    </row>
    <row r="6" spans="1:10" x14ac:dyDescent="0.25">
      <c r="B6" t="s">
        <v>2</v>
      </c>
      <c r="I6" s="18">
        <v>180</v>
      </c>
      <c r="J6" s="2"/>
    </row>
    <row r="7" spans="1:10" x14ac:dyDescent="0.25">
      <c r="B7" t="s">
        <v>9</v>
      </c>
      <c r="J7" s="24">
        <f>(I5*I6)</f>
        <v>810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810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140</v>
      </c>
    </row>
    <row r="18" spans="2:10" x14ac:dyDescent="0.25">
      <c r="C18" t="s">
        <v>223</v>
      </c>
      <c r="G18" s="17">
        <v>1</v>
      </c>
    </row>
    <row r="19" spans="2:10" x14ac:dyDescent="0.25">
      <c r="C19" t="s">
        <v>17</v>
      </c>
      <c r="G19" s="18">
        <v>57</v>
      </c>
    </row>
    <row r="20" spans="2:10" x14ac:dyDescent="0.25">
      <c r="C20" t="s">
        <v>142</v>
      </c>
      <c r="H20" s="3">
        <f>G18*G19</f>
        <v>57</v>
      </c>
      <c r="I20" s="3">
        <v>0</v>
      </c>
      <c r="J20" s="3">
        <f>SUM(H20, I20)</f>
        <v>57</v>
      </c>
    </row>
    <row r="22" spans="2:10" x14ac:dyDescent="0.25">
      <c r="B22" t="s">
        <v>141</v>
      </c>
    </row>
    <row r="23" spans="2:10" x14ac:dyDescent="0.25">
      <c r="C23" t="s">
        <v>143</v>
      </c>
      <c r="G23" s="23">
        <v>0</v>
      </c>
    </row>
    <row r="24" spans="2:10" x14ac:dyDescent="0.25">
      <c r="C24" t="s">
        <v>145</v>
      </c>
      <c r="G24" s="22">
        <v>2.5000000000000001E-2</v>
      </c>
    </row>
    <row r="25" spans="2:10" x14ac:dyDescent="0.25">
      <c r="C25" t="s">
        <v>144</v>
      </c>
      <c r="H25" s="3">
        <f>G23*G24</f>
        <v>0</v>
      </c>
      <c r="I25" s="3">
        <v>0</v>
      </c>
      <c r="J25" s="3">
        <f>SUM(H25, I25)</f>
        <v>0</v>
      </c>
    </row>
    <row r="27" spans="2:10" x14ac:dyDescent="0.25">
      <c r="B27" t="s">
        <v>23</v>
      </c>
      <c r="H27" s="18">
        <v>0</v>
      </c>
      <c r="I27" s="3">
        <v>0</v>
      </c>
      <c r="J27" s="3">
        <f t="shared" ref="J27:J33" si="0">SUM(H27, I27)</f>
        <v>0</v>
      </c>
    </row>
    <row r="28" spans="2:10" x14ac:dyDescent="0.25">
      <c r="B28" t="s">
        <v>24</v>
      </c>
      <c r="H28" s="18">
        <v>0</v>
      </c>
      <c r="I28" s="3">
        <v>0</v>
      </c>
      <c r="J28" s="3">
        <f t="shared" si="0"/>
        <v>0</v>
      </c>
    </row>
    <row r="29" spans="2:10" x14ac:dyDescent="0.25">
      <c r="B29" t="s">
        <v>25</v>
      </c>
      <c r="H29" s="18">
        <v>0</v>
      </c>
      <c r="I29" s="3">
        <v>0</v>
      </c>
      <c r="J29" s="3">
        <f t="shared" si="0"/>
        <v>0</v>
      </c>
    </row>
    <row r="30" spans="2:10" x14ac:dyDescent="0.25">
      <c r="B30" t="s">
        <v>26</v>
      </c>
      <c r="H30" s="18">
        <v>0</v>
      </c>
      <c r="I30" s="3">
        <v>0</v>
      </c>
      <c r="J30" s="3">
        <f t="shared" si="0"/>
        <v>0</v>
      </c>
    </row>
    <row r="31" spans="2:10" x14ac:dyDescent="0.25">
      <c r="B31" t="s">
        <v>27</v>
      </c>
      <c r="H31" s="18">
        <v>10</v>
      </c>
      <c r="I31" s="3">
        <v>0</v>
      </c>
      <c r="J31" s="3">
        <f t="shared" si="0"/>
        <v>10</v>
      </c>
    </row>
    <row r="32" spans="2:10" x14ac:dyDescent="0.25">
      <c r="B32" t="s">
        <v>28</v>
      </c>
      <c r="H32" s="18">
        <v>20</v>
      </c>
      <c r="I32" s="3">
        <v>0</v>
      </c>
      <c r="J32" s="3">
        <f t="shared" si="0"/>
        <v>20</v>
      </c>
    </row>
    <row r="33" spans="1:10" x14ac:dyDescent="0.25">
      <c r="B33" t="s">
        <v>134</v>
      </c>
      <c r="G33" s="20">
        <v>7.0000000000000007E-2</v>
      </c>
      <c r="H33" s="3">
        <f>((SUM(H20,H25,H27:H29, H32)*0.5))*$G$33</f>
        <v>2.6950000000000003</v>
      </c>
      <c r="I33" s="3">
        <v>0</v>
      </c>
      <c r="J33" s="3">
        <f t="shared" si="0"/>
        <v>2.6950000000000003</v>
      </c>
    </row>
    <row r="35" spans="1:10" x14ac:dyDescent="0.25">
      <c r="B35" t="s">
        <v>35</v>
      </c>
      <c r="H35" s="3">
        <f>SUM(H20, H25, H27:H33)</f>
        <v>89.694999999999993</v>
      </c>
      <c r="I35" s="3">
        <f>SUM(I20, I25, I27:I33)</f>
        <v>0</v>
      </c>
      <c r="J35" s="3">
        <f>SUM(H35, I35)</f>
        <v>89.694999999999993</v>
      </c>
    </row>
    <row r="37" spans="1:10" x14ac:dyDescent="0.25">
      <c r="A37" s="7" t="s">
        <v>135</v>
      </c>
    </row>
    <row r="38" spans="1:10" x14ac:dyDescent="0.25">
      <c r="H38" s="4" t="s">
        <v>11</v>
      </c>
      <c r="I38" s="4" t="s">
        <v>12</v>
      </c>
      <c r="J38" s="4" t="s">
        <v>6</v>
      </c>
    </row>
    <row r="39" spans="1:10" x14ac:dyDescent="0.25">
      <c r="H39" s="4"/>
      <c r="I39" s="4"/>
    </row>
    <row r="40" spans="1:10" x14ac:dyDescent="0.25">
      <c r="B40" t="s">
        <v>204</v>
      </c>
      <c r="H40" s="18">
        <v>0.99</v>
      </c>
      <c r="I40" s="18">
        <v>4.2</v>
      </c>
      <c r="J40" s="3">
        <f>SUM(H40, I40)</f>
        <v>5.19</v>
      </c>
    </row>
    <row r="41" spans="1:10" x14ac:dyDescent="0.25">
      <c r="B41" t="s">
        <v>174</v>
      </c>
      <c r="H41" s="18">
        <v>2.48</v>
      </c>
      <c r="I41" s="18">
        <v>10.59</v>
      </c>
      <c r="J41" s="3">
        <f t="shared" ref="J41:J54" si="1">SUM(H41, I41)</f>
        <v>13.07</v>
      </c>
    </row>
    <row r="42" spans="1:10" x14ac:dyDescent="0.25">
      <c r="B42" t="s">
        <v>33</v>
      </c>
      <c r="H42" s="18">
        <v>0</v>
      </c>
      <c r="I42" s="18">
        <v>0</v>
      </c>
      <c r="J42" s="3">
        <f t="shared" si="1"/>
        <v>0</v>
      </c>
    </row>
    <row r="43" spans="1:10" x14ac:dyDescent="0.25">
      <c r="B43" t="s">
        <v>33</v>
      </c>
      <c r="H43" s="18">
        <v>0</v>
      </c>
      <c r="I43" s="18">
        <v>0</v>
      </c>
      <c r="J43" s="3">
        <f t="shared" si="1"/>
        <v>0</v>
      </c>
    </row>
    <row r="44" spans="1:10" x14ac:dyDescent="0.25">
      <c r="B44" t="s">
        <v>33</v>
      </c>
      <c r="H44" s="18">
        <v>0</v>
      </c>
      <c r="I44" s="18">
        <v>0</v>
      </c>
      <c r="J44" s="3">
        <f t="shared" si="1"/>
        <v>0</v>
      </c>
    </row>
    <row r="45" spans="1:10" x14ac:dyDescent="0.25">
      <c r="B45" t="s">
        <v>33</v>
      </c>
      <c r="H45" s="18">
        <v>0</v>
      </c>
      <c r="I45" s="18">
        <v>0</v>
      </c>
      <c r="J45" s="3">
        <f t="shared" si="1"/>
        <v>0</v>
      </c>
    </row>
    <row r="46" spans="1:10" x14ac:dyDescent="0.25">
      <c r="B46" t="s">
        <v>33</v>
      </c>
      <c r="H46" s="18">
        <v>0</v>
      </c>
      <c r="I46" s="18">
        <v>0</v>
      </c>
      <c r="J46" s="3">
        <f t="shared" si="1"/>
        <v>0</v>
      </c>
    </row>
    <row r="47" spans="1:10" x14ac:dyDescent="0.25">
      <c r="B47" t="s">
        <v>33</v>
      </c>
      <c r="H47" s="18">
        <v>0</v>
      </c>
      <c r="I47" s="18">
        <v>0</v>
      </c>
      <c r="J47" s="3">
        <f t="shared" si="1"/>
        <v>0</v>
      </c>
    </row>
    <row r="48" spans="1:10" x14ac:dyDescent="0.25">
      <c r="B48" t="s">
        <v>33</v>
      </c>
      <c r="H48" s="18">
        <v>0</v>
      </c>
      <c r="I48" s="18">
        <v>0</v>
      </c>
      <c r="J48" s="3">
        <f t="shared" si="1"/>
        <v>0</v>
      </c>
    </row>
    <row r="49" spans="1:10" x14ac:dyDescent="0.25">
      <c r="B49" t="s">
        <v>33</v>
      </c>
      <c r="H49" s="18">
        <v>0</v>
      </c>
      <c r="I49" s="18">
        <v>0</v>
      </c>
      <c r="J49" s="3">
        <f t="shared" si="1"/>
        <v>0</v>
      </c>
    </row>
    <row r="50" spans="1:10" x14ac:dyDescent="0.25">
      <c r="B50" t="s">
        <v>33</v>
      </c>
      <c r="H50" s="18">
        <v>0</v>
      </c>
      <c r="I50" s="18">
        <v>0</v>
      </c>
      <c r="J50" s="3">
        <f t="shared" si="1"/>
        <v>0</v>
      </c>
    </row>
    <row r="51" spans="1:10" x14ac:dyDescent="0.25">
      <c r="B51" t="s">
        <v>33</v>
      </c>
      <c r="H51" s="18">
        <v>0</v>
      </c>
      <c r="I51" s="18">
        <v>0</v>
      </c>
      <c r="J51" s="3">
        <f t="shared" si="1"/>
        <v>0</v>
      </c>
    </row>
    <row r="52" spans="1:10" x14ac:dyDescent="0.25">
      <c r="B52" t="s">
        <v>33</v>
      </c>
      <c r="H52" s="18">
        <v>0</v>
      </c>
      <c r="I52" s="18">
        <v>0</v>
      </c>
      <c r="J52" s="3">
        <f t="shared" si="1"/>
        <v>0</v>
      </c>
    </row>
    <row r="53" spans="1:10" x14ac:dyDescent="0.25">
      <c r="H53" s="3"/>
      <c r="I53" s="3"/>
      <c r="J53" s="3"/>
    </row>
    <row r="54" spans="1:10" x14ac:dyDescent="0.25">
      <c r="B54" t="s">
        <v>35</v>
      </c>
      <c r="H54" s="3">
        <f>SUM((H40*$G$18), (H41*($G$23/1000)), H42:H52)</f>
        <v>0.99</v>
      </c>
      <c r="I54" s="3">
        <f>SUM((I40*$G$18), (I41*($G$23/1000)), I42:I52)</f>
        <v>4.2</v>
      </c>
      <c r="J54" s="3">
        <f t="shared" si="1"/>
        <v>5.19</v>
      </c>
    </row>
    <row r="56" spans="1:10" x14ac:dyDescent="0.25">
      <c r="A56" s="7" t="s">
        <v>36</v>
      </c>
    </row>
    <row r="57" spans="1:10" x14ac:dyDescent="0.25">
      <c r="H57" s="4" t="s">
        <v>11</v>
      </c>
      <c r="I57" s="4" t="s">
        <v>12</v>
      </c>
      <c r="J57" s="4" t="s">
        <v>6</v>
      </c>
    </row>
    <row r="59" spans="1:10" x14ac:dyDescent="0.25">
      <c r="B59" t="s">
        <v>158</v>
      </c>
      <c r="H59" s="26"/>
      <c r="I59" s="26"/>
      <c r="J59" s="3"/>
    </row>
    <row r="60" spans="1:10" x14ac:dyDescent="0.25">
      <c r="C60" t="s">
        <v>159</v>
      </c>
      <c r="G60" s="27">
        <v>3</v>
      </c>
      <c r="H60" s="26"/>
      <c r="I60" s="26"/>
      <c r="J60" s="3"/>
    </row>
    <row r="61" spans="1:10" x14ac:dyDescent="0.25">
      <c r="C61" t="s">
        <v>171</v>
      </c>
      <c r="H61" s="18">
        <v>4.17</v>
      </c>
      <c r="I61" s="18">
        <v>10.17</v>
      </c>
      <c r="J61" s="3"/>
    </row>
    <row r="62" spans="1:10" x14ac:dyDescent="0.25">
      <c r="C62" t="s">
        <v>172</v>
      </c>
      <c r="H62" s="18">
        <v>2.0499999999999998</v>
      </c>
      <c r="I62" s="18">
        <v>5.84</v>
      </c>
      <c r="J62" s="3"/>
    </row>
    <row r="63" spans="1:10" x14ac:dyDescent="0.25">
      <c r="C63" t="s">
        <v>173</v>
      </c>
      <c r="H63" s="18">
        <v>5.1100000000000003</v>
      </c>
      <c r="I63" s="18">
        <v>17.8</v>
      </c>
      <c r="J63" s="3"/>
    </row>
    <row r="64" spans="1:10" x14ac:dyDescent="0.25">
      <c r="H64" s="26"/>
      <c r="I64" s="26"/>
      <c r="J64" s="3"/>
    </row>
    <row r="65" spans="1:10" x14ac:dyDescent="0.25">
      <c r="C65" t="s">
        <v>35</v>
      </c>
      <c r="H65" s="26">
        <f>(H61*$G$60)+(H62*$G$60)+(H63*$I$5)</f>
        <v>41.655000000000001</v>
      </c>
      <c r="I65" s="26">
        <f>(I61*$G$60)+(I62*$G$60)+(I63*$I$5)</f>
        <v>128.13</v>
      </c>
      <c r="J65" s="3">
        <f>SUM(H65, I65)</f>
        <v>169.785</v>
      </c>
    </row>
    <row r="66" spans="1:10" x14ac:dyDescent="0.25">
      <c r="H66" s="26"/>
      <c r="I66" s="26"/>
      <c r="J66" s="3"/>
    </row>
    <row r="67" spans="1:10" x14ac:dyDescent="0.25">
      <c r="B67" t="s">
        <v>165</v>
      </c>
    </row>
    <row r="68" spans="1:10" x14ac:dyDescent="0.25">
      <c r="C68" t="s">
        <v>162</v>
      </c>
      <c r="G68" s="28"/>
      <c r="H68" s="21">
        <v>1.05</v>
      </c>
      <c r="I68" s="18">
        <v>2.96</v>
      </c>
    </row>
    <row r="70" spans="1:10" x14ac:dyDescent="0.25">
      <c r="B70" t="s">
        <v>35</v>
      </c>
      <c r="H70" s="3">
        <f xml:space="preserve"> SUM(H65, H68*$I$5)</f>
        <v>46.38</v>
      </c>
      <c r="I70" s="3">
        <f xml:space="preserve"> SUM(I65, I68*$I$5)</f>
        <v>141.44999999999999</v>
      </c>
      <c r="J70" s="3">
        <f>SUM(H70, I70)</f>
        <v>187.82999999999998</v>
      </c>
    </row>
    <row r="72" spans="1:10" x14ac:dyDescent="0.25">
      <c r="A72" s="7" t="s">
        <v>43</v>
      </c>
    </row>
    <row r="74" spans="1:10" x14ac:dyDescent="0.25">
      <c r="B74" t="s">
        <v>41</v>
      </c>
    </row>
    <row r="75" spans="1:10" x14ac:dyDescent="0.25">
      <c r="C75" t="s">
        <v>44</v>
      </c>
      <c r="G75" s="18">
        <v>4.25</v>
      </c>
    </row>
    <row r="76" spans="1:10" x14ac:dyDescent="0.25">
      <c r="C76" t="s">
        <v>45</v>
      </c>
      <c r="G76" s="18">
        <v>20</v>
      </c>
    </row>
    <row r="77" spans="1:10" x14ac:dyDescent="0.25">
      <c r="C77" t="s">
        <v>46</v>
      </c>
      <c r="H77" s="3">
        <v>0</v>
      </c>
      <c r="I77" s="3">
        <f>G75*G76</f>
        <v>85</v>
      </c>
      <c r="J77" s="3">
        <f>SUM(H77, I77)</f>
        <v>85</v>
      </c>
    </row>
    <row r="79" spans="1:10" x14ac:dyDescent="0.25">
      <c r="B79" t="s">
        <v>42</v>
      </c>
    </row>
    <row r="80" spans="1:10" x14ac:dyDescent="0.25">
      <c r="C80" t="s">
        <v>44</v>
      </c>
      <c r="G80" s="18">
        <v>1</v>
      </c>
    </row>
    <row r="81" spans="1:10" x14ac:dyDescent="0.25">
      <c r="C81" t="s">
        <v>45</v>
      </c>
      <c r="G81" s="18">
        <v>25</v>
      </c>
    </row>
    <row r="82" spans="1:10" x14ac:dyDescent="0.25">
      <c r="C82" t="s">
        <v>42</v>
      </c>
      <c r="H82" s="3">
        <v>0</v>
      </c>
      <c r="I82" s="3">
        <f>G80*G81</f>
        <v>25</v>
      </c>
      <c r="J82" s="3">
        <f>SUM(H82, I82)</f>
        <v>25</v>
      </c>
    </row>
    <row r="84" spans="1:10" x14ac:dyDescent="0.25">
      <c r="B84" t="s">
        <v>35</v>
      </c>
      <c r="H84" s="3">
        <f>SUM(H77, H82)</f>
        <v>0</v>
      </c>
      <c r="I84" s="3">
        <f>SUM(I77, I82)</f>
        <v>110</v>
      </c>
      <c r="J84" s="3">
        <f>SUM(H84, I84)</f>
        <v>110</v>
      </c>
    </row>
    <row r="86" spans="1:10" x14ac:dyDescent="0.25">
      <c r="A86" s="7" t="s">
        <v>47</v>
      </c>
    </row>
    <row r="88" spans="1:10" x14ac:dyDescent="0.25">
      <c r="B88" t="s">
        <v>48</v>
      </c>
      <c r="H88" s="3">
        <v>0</v>
      </c>
      <c r="I88" s="18">
        <v>255</v>
      </c>
      <c r="J88" s="3">
        <f>SUM(H88, I88)</f>
        <v>255</v>
      </c>
    </row>
    <row r="89" spans="1:10" x14ac:dyDescent="0.25">
      <c r="H89" s="3"/>
      <c r="I89" s="3"/>
    </row>
    <row r="90" spans="1:10" x14ac:dyDescent="0.25">
      <c r="A90" s="7" t="s">
        <v>136</v>
      </c>
    </row>
    <row r="92" spans="1:10" x14ac:dyDescent="0.25">
      <c r="B92" t="s">
        <v>51</v>
      </c>
      <c r="H92" s="3">
        <f>SUM(H35, H54, H70, H84, H88)</f>
        <v>137.065</v>
      </c>
      <c r="I92" s="3">
        <f>SUM(I35, I54, I70, I84, I88)</f>
        <v>510.65</v>
      </c>
      <c r="J92" s="3">
        <f>SUM(H92, I92)</f>
        <v>647.71499999999992</v>
      </c>
    </row>
    <row r="93" spans="1:10" x14ac:dyDescent="0.25">
      <c r="B93" t="s">
        <v>163</v>
      </c>
      <c r="H93" s="3">
        <f>H92/$I$5</f>
        <v>30.45888888888889</v>
      </c>
      <c r="I93" s="3">
        <f>I92/$I$5</f>
        <v>113.47777777777777</v>
      </c>
      <c r="J93" s="3">
        <f>SUM(H93, I93)</f>
        <v>143.93666666666667</v>
      </c>
    </row>
    <row r="95" spans="1:10" x14ac:dyDescent="0.25">
      <c r="A95" s="7" t="s">
        <v>137</v>
      </c>
    </row>
    <row r="97" spans="1:10" x14ac:dyDescent="0.25">
      <c r="B97" t="s">
        <v>51</v>
      </c>
      <c r="J97" s="3">
        <f>J12-H92</f>
        <v>672.93499999999995</v>
      </c>
    </row>
    <row r="98" spans="1:10" x14ac:dyDescent="0.25">
      <c r="B98" t="s">
        <v>163</v>
      </c>
      <c r="J98" s="3">
        <f>J97/$I$5</f>
        <v>149.54111111111109</v>
      </c>
    </row>
    <row r="100" spans="1:10" x14ac:dyDescent="0.25">
      <c r="A100" s="7" t="s">
        <v>138</v>
      </c>
    </row>
    <row r="102" spans="1:10" x14ac:dyDescent="0.25">
      <c r="B102" t="s">
        <v>51</v>
      </c>
      <c r="J102" s="3">
        <f>J12-J92</f>
        <v>162.28500000000008</v>
      </c>
    </row>
    <row r="103" spans="1:10" x14ac:dyDescent="0.25">
      <c r="B103" t="s">
        <v>163</v>
      </c>
      <c r="J103" s="3">
        <f>J102/$I$5</f>
        <v>36.063333333333354</v>
      </c>
    </row>
  </sheetData>
  <sheetProtection sheet="1" objects="1" scenarios="1"/>
  <printOptions headings="1" gridLines="1"/>
  <pageMargins left="0.7" right="0.7" top="0.75" bottom="0.75" header="0.3" footer="0.3"/>
  <pageSetup scale="45" orientation="portrait" r:id="rId1"/>
  <ignoredErrors>
    <ignoredError sqref="H65:I6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88"/>
  <sheetViews>
    <sheetView zoomScale="150" zoomScaleNormal="150" workbookViewId="0"/>
  </sheetViews>
  <sheetFormatPr defaultRowHeight="15" x14ac:dyDescent="0.25"/>
  <cols>
    <col min="1" max="4" width="10.7109375" customWidth="1"/>
    <col min="5" max="5" width="12.7109375" customWidth="1"/>
    <col min="6" max="6" width="4.7109375" customWidth="1"/>
  </cols>
  <sheetData>
    <row r="1" spans="1:16" x14ac:dyDescent="0.25">
      <c r="A1" s="1" t="s">
        <v>178</v>
      </c>
    </row>
    <row r="3" spans="1:16" x14ac:dyDescent="0.25">
      <c r="B3" s="7" t="s">
        <v>79</v>
      </c>
    </row>
    <row r="5" spans="1:16" ht="15" customHeight="1" x14ac:dyDescent="0.25">
      <c r="E5" s="10" t="s">
        <v>167</v>
      </c>
      <c r="G5" s="4" t="s">
        <v>55</v>
      </c>
      <c r="H5" s="4" t="s">
        <v>56</v>
      </c>
      <c r="I5" s="4" t="s">
        <v>57</v>
      </c>
      <c r="J5" s="4" t="s">
        <v>58</v>
      </c>
      <c r="K5" s="4" t="s">
        <v>59</v>
      </c>
      <c r="L5" s="4" t="s">
        <v>60</v>
      </c>
      <c r="M5" s="4" t="s">
        <v>61</v>
      </c>
      <c r="N5" s="4" t="s">
        <v>62</v>
      </c>
      <c r="O5" s="4" t="s">
        <v>63</v>
      </c>
      <c r="P5" s="4" t="s">
        <v>64</v>
      </c>
    </row>
    <row r="7" spans="1:16" x14ac:dyDescent="0.25">
      <c r="B7" t="s">
        <v>0</v>
      </c>
      <c r="E7" s="25">
        <v>2</v>
      </c>
      <c r="G7" s="3">
        <f>'Conventional Corn'!$I$5</f>
        <v>198</v>
      </c>
      <c r="H7" s="3">
        <f>G7+$E$7</f>
        <v>200</v>
      </c>
      <c r="I7" s="3">
        <f t="shared" ref="I7:P7" si="0">H7+$E$7</f>
        <v>202</v>
      </c>
      <c r="J7" s="3">
        <f t="shared" si="0"/>
        <v>204</v>
      </c>
      <c r="K7" s="3">
        <f t="shared" si="0"/>
        <v>206</v>
      </c>
      <c r="L7" s="3">
        <f t="shared" si="0"/>
        <v>208</v>
      </c>
      <c r="M7" s="3">
        <f t="shared" si="0"/>
        <v>210</v>
      </c>
      <c r="N7" s="3">
        <f t="shared" si="0"/>
        <v>212</v>
      </c>
      <c r="O7" s="3">
        <f t="shared" si="0"/>
        <v>214</v>
      </c>
      <c r="P7" s="3">
        <f t="shared" si="0"/>
        <v>216</v>
      </c>
    </row>
    <row r="8" spans="1:16" x14ac:dyDescent="0.25">
      <c r="B8" t="s">
        <v>67</v>
      </c>
      <c r="E8" s="25">
        <v>0.5</v>
      </c>
      <c r="G8" s="3">
        <f>'Conventional Soybeans'!$I$5</f>
        <v>60</v>
      </c>
      <c r="H8" s="3">
        <f>G8+$E$8</f>
        <v>60.5</v>
      </c>
      <c r="I8" s="3">
        <f t="shared" ref="I8:P8" si="1">H8+$E$8</f>
        <v>61</v>
      </c>
      <c r="J8" s="3">
        <f t="shared" si="1"/>
        <v>61.5</v>
      </c>
      <c r="K8" s="3">
        <f t="shared" si="1"/>
        <v>62</v>
      </c>
      <c r="L8" s="3">
        <f t="shared" si="1"/>
        <v>62.5</v>
      </c>
      <c r="M8" s="3">
        <f t="shared" si="1"/>
        <v>63</v>
      </c>
      <c r="N8" s="3">
        <f t="shared" si="1"/>
        <v>63.5</v>
      </c>
      <c r="O8" s="3">
        <f t="shared" si="1"/>
        <v>64</v>
      </c>
      <c r="P8" s="3">
        <f t="shared" si="1"/>
        <v>64.5</v>
      </c>
    </row>
    <row r="9" spans="1:16" x14ac:dyDescent="0.25">
      <c r="B9" t="s">
        <v>68</v>
      </c>
      <c r="E9" s="25">
        <v>0.35</v>
      </c>
      <c r="G9" s="3">
        <f>'Transition Oats'!$I$5</f>
        <v>60</v>
      </c>
      <c r="H9" s="3">
        <f>G9+$E$9</f>
        <v>60.35</v>
      </c>
      <c r="I9" s="3">
        <f>H9+$E$9</f>
        <v>60.7</v>
      </c>
      <c r="J9" s="3">
        <f>I9+$E$9</f>
        <v>61.050000000000004</v>
      </c>
      <c r="K9" s="3">
        <f>J9+$E$9</f>
        <v>61.400000000000006</v>
      </c>
      <c r="L9" s="3">
        <f t="shared" ref="L9:N9" si="2">K9+$E$9</f>
        <v>61.750000000000007</v>
      </c>
      <c r="M9" s="3">
        <f t="shared" si="2"/>
        <v>62.100000000000009</v>
      </c>
      <c r="N9" s="3">
        <f t="shared" si="2"/>
        <v>62.45000000000001</v>
      </c>
      <c r="O9" s="3">
        <f t="shared" ref="O9:P9" si="3">N9+$E$9</f>
        <v>62.800000000000011</v>
      </c>
      <c r="P9" s="3">
        <f t="shared" si="3"/>
        <v>63.150000000000013</v>
      </c>
    </row>
    <row r="10" spans="1:16" x14ac:dyDescent="0.25">
      <c r="B10" t="s">
        <v>168</v>
      </c>
      <c r="E10" s="25">
        <v>0</v>
      </c>
      <c r="G10" s="3">
        <f>'Transition Oats'!$I$6</f>
        <v>1</v>
      </c>
      <c r="H10" s="3">
        <f>G10+$E$10</f>
        <v>1</v>
      </c>
      <c r="I10" s="3">
        <f t="shared" ref="I10:P10" si="4">H10+$E$10</f>
        <v>1</v>
      </c>
      <c r="J10" s="3">
        <f t="shared" si="4"/>
        <v>1</v>
      </c>
      <c r="K10" s="3">
        <f t="shared" si="4"/>
        <v>1</v>
      </c>
      <c r="L10" s="3">
        <f t="shared" si="4"/>
        <v>1</v>
      </c>
      <c r="M10" s="3">
        <f t="shared" si="4"/>
        <v>1</v>
      </c>
      <c r="N10" s="3">
        <f t="shared" si="4"/>
        <v>1</v>
      </c>
      <c r="O10" s="3">
        <f t="shared" si="4"/>
        <v>1</v>
      </c>
      <c r="P10" s="3">
        <f t="shared" si="4"/>
        <v>1</v>
      </c>
    </row>
    <row r="11" spans="1:16" x14ac:dyDescent="0.25">
      <c r="B11" t="s">
        <v>69</v>
      </c>
      <c r="E11" s="25">
        <v>0.1</v>
      </c>
      <c r="G11" s="3">
        <f>'Transition Alfalfa'!$I$5</f>
        <v>4.5</v>
      </c>
      <c r="H11" s="3">
        <f>G11+$E$11</f>
        <v>4.5999999999999996</v>
      </c>
      <c r="I11" s="3">
        <f>H11+$E$11</f>
        <v>4.6999999999999993</v>
      </c>
      <c r="J11" s="3">
        <f>I11+$E$11</f>
        <v>4.7999999999999989</v>
      </c>
      <c r="K11" s="3">
        <f>J11+$E$11</f>
        <v>4.8999999999999986</v>
      </c>
      <c r="L11" s="3">
        <f t="shared" ref="L11:N11" si="5">K11+$E$11</f>
        <v>4.9999999999999982</v>
      </c>
      <c r="M11" s="3">
        <f t="shared" si="5"/>
        <v>5.0999999999999979</v>
      </c>
      <c r="N11" s="3">
        <f t="shared" si="5"/>
        <v>5.1999999999999975</v>
      </c>
      <c r="O11" s="3">
        <f t="shared" ref="O11:P11" si="6">N11+$E$11</f>
        <v>5.2999999999999972</v>
      </c>
      <c r="P11" s="3">
        <f t="shared" si="6"/>
        <v>5.3999999999999968</v>
      </c>
    </row>
    <row r="12" spans="1:16" x14ac:dyDescent="0.25">
      <c r="B12" t="s">
        <v>75</v>
      </c>
      <c r="E12" s="25">
        <v>1.5</v>
      </c>
      <c r="G12" s="3">
        <f>'Organic Corn'!$I$5</f>
        <v>151.30000000000001</v>
      </c>
      <c r="H12" s="3">
        <f>G12+$E$12</f>
        <v>152.80000000000001</v>
      </c>
      <c r="I12" s="3">
        <f t="shared" ref="I12:P12" si="7">H12+$E$12</f>
        <v>154.30000000000001</v>
      </c>
      <c r="J12" s="3">
        <f t="shared" si="7"/>
        <v>155.80000000000001</v>
      </c>
      <c r="K12" s="3">
        <f t="shared" si="7"/>
        <v>157.30000000000001</v>
      </c>
      <c r="L12" s="3">
        <f t="shared" si="7"/>
        <v>158.80000000000001</v>
      </c>
      <c r="M12" s="3">
        <f t="shared" si="7"/>
        <v>160.30000000000001</v>
      </c>
      <c r="N12" s="3">
        <f t="shared" si="7"/>
        <v>161.80000000000001</v>
      </c>
      <c r="O12" s="3">
        <f t="shared" si="7"/>
        <v>163.30000000000001</v>
      </c>
      <c r="P12" s="3">
        <f t="shared" si="7"/>
        <v>164.8</v>
      </c>
    </row>
    <row r="13" spans="1:16" x14ac:dyDescent="0.25">
      <c r="B13" t="s">
        <v>76</v>
      </c>
      <c r="E13" s="25">
        <v>0.35</v>
      </c>
      <c r="G13" s="3">
        <f>'Organic Soybeans'!$I$5</f>
        <v>46.3</v>
      </c>
      <c r="H13" s="3">
        <f>G13+$E$13</f>
        <v>46.65</v>
      </c>
      <c r="I13" s="3">
        <f t="shared" ref="I13:P13" si="8">H13+$E$13</f>
        <v>47</v>
      </c>
      <c r="J13" s="3">
        <f t="shared" si="8"/>
        <v>47.35</v>
      </c>
      <c r="K13" s="3">
        <f t="shared" si="8"/>
        <v>47.7</v>
      </c>
      <c r="L13" s="3">
        <f t="shared" si="8"/>
        <v>48.050000000000004</v>
      </c>
      <c r="M13" s="3">
        <f t="shared" si="8"/>
        <v>48.400000000000006</v>
      </c>
      <c r="N13" s="3">
        <f t="shared" si="8"/>
        <v>48.750000000000007</v>
      </c>
      <c r="O13" s="3">
        <f t="shared" si="8"/>
        <v>49.100000000000009</v>
      </c>
      <c r="P13" s="3">
        <f t="shared" si="8"/>
        <v>49.45000000000001</v>
      </c>
    </row>
    <row r="14" spans="1:16" x14ac:dyDescent="0.25">
      <c r="B14" t="s">
        <v>77</v>
      </c>
      <c r="E14" s="25">
        <v>0.35</v>
      </c>
      <c r="G14" s="3">
        <f>'Organic Oats'!$I$5</f>
        <v>60</v>
      </c>
      <c r="H14" s="3">
        <f>G14+$E$14</f>
        <v>60.35</v>
      </c>
      <c r="I14" s="3">
        <f t="shared" ref="I14:P14" si="9">H14+$E$14</f>
        <v>60.7</v>
      </c>
      <c r="J14" s="3">
        <f t="shared" si="9"/>
        <v>61.050000000000004</v>
      </c>
      <c r="K14" s="3">
        <f t="shared" si="9"/>
        <v>61.400000000000006</v>
      </c>
      <c r="L14" s="3">
        <f t="shared" si="9"/>
        <v>61.750000000000007</v>
      </c>
      <c r="M14" s="3">
        <f t="shared" si="9"/>
        <v>62.100000000000009</v>
      </c>
      <c r="N14" s="3">
        <f t="shared" si="9"/>
        <v>62.45000000000001</v>
      </c>
      <c r="O14" s="3">
        <f t="shared" si="9"/>
        <v>62.800000000000011</v>
      </c>
      <c r="P14" s="3">
        <f t="shared" si="9"/>
        <v>63.150000000000013</v>
      </c>
    </row>
    <row r="15" spans="1:16" x14ac:dyDescent="0.25">
      <c r="B15" t="s">
        <v>166</v>
      </c>
      <c r="E15" s="25">
        <v>0</v>
      </c>
      <c r="G15" s="3">
        <f>'Organic Oats'!$I$6</f>
        <v>1</v>
      </c>
      <c r="H15" s="3">
        <f>G15+$E$15</f>
        <v>1</v>
      </c>
      <c r="I15" s="3">
        <f t="shared" ref="I15:P15" si="10">H15+$E$15</f>
        <v>1</v>
      </c>
      <c r="J15" s="3">
        <f t="shared" si="10"/>
        <v>1</v>
      </c>
      <c r="K15" s="3">
        <f t="shared" si="10"/>
        <v>1</v>
      </c>
      <c r="L15" s="3">
        <f t="shared" si="10"/>
        <v>1</v>
      </c>
      <c r="M15" s="3">
        <f t="shared" si="10"/>
        <v>1</v>
      </c>
      <c r="N15" s="3">
        <f t="shared" si="10"/>
        <v>1</v>
      </c>
      <c r="O15" s="3">
        <f t="shared" si="10"/>
        <v>1</v>
      </c>
      <c r="P15" s="3">
        <f t="shared" si="10"/>
        <v>1</v>
      </c>
    </row>
    <row r="16" spans="1:16" x14ac:dyDescent="0.25">
      <c r="B16" t="s">
        <v>78</v>
      </c>
      <c r="E16" s="25">
        <v>0.1</v>
      </c>
      <c r="G16" s="3">
        <f>'Organic Alfalfa'!$I$5</f>
        <v>4.5</v>
      </c>
      <c r="H16" s="3">
        <f>G16+$E$16</f>
        <v>4.5999999999999996</v>
      </c>
      <c r="I16" s="3">
        <f t="shared" ref="I16:P16" si="11">H16+$E$16</f>
        <v>4.6999999999999993</v>
      </c>
      <c r="J16" s="3">
        <f t="shared" si="11"/>
        <v>4.7999999999999989</v>
      </c>
      <c r="K16" s="3">
        <f t="shared" si="11"/>
        <v>4.8999999999999986</v>
      </c>
      <c r="L16" s="3">
        <f t="shared" si="11"/>
        <v>4.9999999999999982</v>
      </c>
      <c r="M16" s="3">
        <f t="shared" si="11"/>
        <v>5.0999999999999979</v>
      </c>
      <c r="N16" s="3">
        <f t="shared" si="11"/>
        <v>5.1999999999999975</v>
      </c>
      <c r="O16" s="3">
        <f t="shared" si="11"/>
        <v>5.2999999999999972</v>
      </c>
      <c r="P16" s="3">
        <f t="shared" si="11"/>
        <v>5.3999999999999968</v>
      </c>
    </row>
    <row r="19" spans="2:16" x14ac:dyDescent="0.25">
      <c r="B19" s="7" t="s">
        <v>80</v>
      </c>
    </row>
    <row r="21" spans="2:16" x14ac:dyDescent="0.25">
      <c r="G21" s="4" t="s">
        <v>55</v>
      </c>
      <c r="H21" s="4" t="s">
        <v>56</v>
      </c>
      <c r="I21" s="4" t="s">
        <v>57</v>
      </c>
      <c r="J21" s="4" t="s">
        <v>58</v>
      </c>
      <c r="K21" s="4" t="s">
        <v>59</v>
      </c>
      <c r="L21" s="4" t="s">
        <v>60</v>
      </c>
      <c r="M21" s="4" t="s">
        <v>61</v>
      </c>
      <c r="N21" s="4" t="s">
        <v>62</v>
      </c>
      <c r="O21" s="4" t="s">
        <v>63</v>
      </c>
      <c r="P21" s="4" t="s">
        <v>64</v>
      </c>
    </row>
    <row r="22" spans="2:16" x14ac:dyDescent="0.25">
      <c r="G22" s="4"/>
      <c r="H22" s="4"/>
      <c r="I22" s="4"/>
    </row>
    <row r="23" spans="2:16" x14ac:dyDescent="0.25">
      <c r="B23" t="s">
        <v>0</v>
      </c>
      <c r="G23" s="3">
        <f>'Conventional Corn'!$I$6</f>
        <v>4.5999999999999996</v>
      </c>
      <c r="H23" s="18">
        <v>4.2</v>
      </c>
      <c r="I23" s="18">
        <v>4.2</v>
      </c>
      <c r="J23" s="18">
        <v>4.2</v>
      </c>
      <c r="K23" s="18">
        <v>4.2</v>
      </c>
      <c r="L23" s="18">
        <v>4.2</v>
      </c>
      <c r="M23" s="18">
        <v>4.2</v>
      </c>
      <c r="N23" s="18">
        <v>4.2</v>
      </c>
      <c r="O23" s="18">
        <v>4.2</v>
      </c>
      <c r="P23" s="18">
        <v>4.2</v>
      </c>
    </row>
    <row r="24" spans="2:16" x14ac:dyDescent="0.25">
      <c r="B24" t="s">
        <v>67</v>
      </c>
      <c r="G24" s="3">
        <f>'Conventional Soybeans'!$I$6</f>
        <v>11.55</v>
      </c>
      <c r="H24" s="18">
        <v>10.4</v>
      </c>
      <c r="I24" s="18">
        <v>10.4</v>
      </c>
      <c r="J24" s="18">
        <v>10.4</v>
      </c>
      <c r="K24" s="18">
        <v>10.4</v>
      </c>
      <c r="L24" s="18">
        <v>10.4</v>
      </c>
      <c r="M24" s="18">
        <v>10.4</v>
      </c>
      <c r="N24" s="18">
        <v>10.4</v>
      </c>
      <c r="O24" s="18">
        <v>10.4</v>
      </c>
      <c r="P24" s="18">
        <v>10.4</v>
      </c>
    </row>
    <row r="25" spans="2:16" x14ac:dyDescent="0.25">
      <c r="B25" t="s">
        <v>68</v>
      </c>
      <c r="G25" s="3">
        <f>'Transition Oats'!$I$7</f>
        <v>3.75</v>
      </c>
      <c r="H25" s="18">
        <v>3.45</v>
      </c>
      <c r="I25" s="18">
        <v>3.45</v>
      </c>
      <c r="J25" s="18">
        <v>3.45</v>
      </c>
      <c r="K25" s="18">
        <v>3.45</v>
      </c>
      <c r="L25" s="18">
        <v>3.45</v>
      </c>
      <c r="M25" s="18">
        <v>3.45</v>
      </c>
      <c r="N25" s="18">
        <v>3.45</v>
      </c>
      <c r="O25" s="18">
        <v>3.45</v>
      </c>
      <c r="P25" s="18">
        <v>3.45</v>
      </c>
    </row>
    <row r="26" spans="2:16" x14ac:dyDescent="0.25">
      <c r="B26" t="s">
        <v>168</v>
      </c>
      <c r="G26" s="3">
        <f>'Transition Oats'!$I$8</f>
        <v>160</v>
      </c>
      <c r="H26" s="18">
        <v>160</v>
      </c>
      <c r="I26" s="18">
        <v>160</v>
      </c>
      <c r="J26" s="18">
        <v>160</v>
      </c>
      <c r="K26" s="18">
        <v>160</v>
      </c>
      <c r="L26" s="18">
        <v>160</v>
      </c>
      <c r="M26" s="18">
        <v>160</v>
      </c>
      <c r="N26" s="18">
        <v>160</v>
      </c>
      <c r="O26" s="18">
        <v>160</v>
      </c>
      <c r="P26" s="18">
        <v>160</v>
      </c>
    </row>
    <row r="27" spans="2:16" x14ac:dyDescent="0.25">
      <c r="B27" t="s">
        <v>69</v>
      </c>
      <c r="G27" s="3">
        <f>'Transition Alfalfa'!$I$6</f>
        <v>160</v>
      </c>
      <c r="H27" s="18">
        <v>160</v>
      </c>
      <c r="I27" s="18">
        <v>160</v>
      </c>
      <c r="J27" s="18">
        <v>160</v>
      </c>
      <c r="K27" s="18">
        <v>160</v>
      </c>
      <c r="L27" s="18">
        <v>160</v>
      </c>
      <c r="M27" s="18">
        <v>160</v>
      </c>
      <c r="N27" s="18">
        <v>160</v>
      </c>
      <c r="O27" s="18">
        <v>160</v>
      </c>
      <c r="P27" s="18">
        <v>160</v>
      </c>
    </row>
    <row r="28" spans="2:16" x14ac:dyDescent="0.25">
      <c r="B28" t="s">
        <v>75</v>
      </c>
      <c r="E28" s="3"/>
      <c r="G28" s="3">
        <f>'Organic Corn'!$I$6</f>
        <v>8.3000000000000007</v>
      </c>
      <c r="H28" s="18">
        <v>7.55</v>
      </c>
      <c r="I28" s="18">
        <v>7.55</v>
      </c>
      <c r="J28" s="18">
        <v>7.55</v>
      </c>
      <c r="K28" s="18">
        <v>7.55</v>
      </c>
      <c r="L28" s="18">
        <v>7.55</v>
      </c>
      <c r="M28" s="18">
        <v>7.55</v>
      </c>
      <c r="N28" s="18">
        <v>7.55</v>
      </c>
      <c r="O28" s="18">
        <v>7.55</v>
      </c>
      <c r="P28" s="18">
        <v>7.55</v>
      </c>
    </row>
    <row r="29" spans="2:16" x14ac:dyDescent="0.25">
      <c r="B29" t="s">
        <v>76</v>
      </c>
      <c r="E29" s="3"/>
      <c r="G29" s="3">
        <f>'Organic Soybeans'!$I$6</f>
        <v>24.85</v>
      </c>
      <c r="H29" s="18">
        <v>22.35</v>
      </c>
      <c r="I29" s="18">
        <v>22.35</v>
      </c>
      <c r="J29" s="18">
        <v>22.35</v>
      </c>
      <c r="K29" s="18">
        <v>22.35</v>
      </c>
      <c r="L29" s="18">
        <v>22.35</v>
      </c>
      <c r="M29" s="18">
        <v>22.35</v>
      </c>
      <c r="N29" s="18">
        <v>22.35</v>
      </c>
      <c r="O29" s="18">
        <v>22.35</v>
      </c>
      <c r="P29" s="18">
        <v>22.35</v>
      </c>
    </row>
    <row r="30" spans="2:16" x14ac:dyDescent="0.25">
      <c r="B30" t="s">
        <v>77</v>
      </c>
      <c r="E30" s="3"/>
      <c r="G30" s="3">
        <f>'Organic Oats'!$I$7</f>
        <v>6.15</v>
      </c>
      <c r="H30" s="18">
        <v>5.65</v>
      </c>
      <c r="I30" s="18">
        <v>5.65</v>
      </c>
      <c r="J30" s="18">
        <v>5.65</v>
      </c>
      <c r="K30" s="18">
        <v>5.65</v>
      </c>
      <c r="L30" s="18">
        <v>5.65</v>
      </c>
      <c r="M30" s="18">
        <v>5.65</v>
      </c>
      <c r="N30" s="18">
        <v>5.65</v>
      </c>
      <c r="O30" s="18">
        <v>5.65</v>
      </c>
      <c r="P30" s="18">
        <v>5.65</v>
      </c>
    </row>
    <row r="31" spans="2:16" x14ac:dyDescent="0.25">
      <c r="B31" t="s">
        <v>166</v>
      </c>
      <c r="G31" s="3">
        <f>'Organic Oats'!$I$8</f>
        <v>180</v>
      </c>
      <c r="H31" s="18">
        <v>180</v>
      </c>
      <c r="I31" s="18">
        <v>180</v>
      </c>
      <c r="J31" s="18">
        <v>180</v>
      </c>
      <c r="K31" s="18">
        <v>180</v>
      </c>
      <c r="L31" s="18">
        <v>180</v>
      </c>
      <c r="M31" s="18">
        <v>180</v>
      </c>
      <c r="N31" s="18">
        <v>180</v>
      </c>
      <c r="O31" s="18">
        <v>180</v>
      </c>
      <c r="P31" s="18">
        <v>180</v>
      </c>
    </row>
    <row r="32" spans="2:16" x14ac:dyDescent="0.25">
      <c r="B32" t="s">
        <v>78</v>
      </c>
      <c r="G32" s="3">
        <f>'Organic Alfalfa'!$I$6</f>
        <v>180</v>
      </c>
      <c r="H32" s="18">
        <v>180</v>
      </c>
      <c r="I32" s="18">
        <v>180</v>
      </c>
      <c r="J32" s="18">
        <v>180</v>
      </c>
      <c r="K32" s="18">
        <v>180</v>
      </c>
      <c r="L32" s="18">
        <v>180</v>
      </c>
      <c r="M32" s="18">
        <v>180</v>
      </c>
      <c r="N32" s="18">
        <v>180</v>
      </c>
      <c r="O32" s="18">
        <v>180</v>
      </c>
      <c r="P32" s="18">
        <v>180</v>
      </c>
    </row>
    <row r="35" spans="2:16" x14ac:dyDescent="0.25">
      <c r="B35" s="7" t="s">
        <v>82</v>
      </c>
    </row>
    <row r="37" spans="2:16" ht="15" customHeight="1" x14ac:dyDescent="0.25">
      <c r="G37" s="4" t="s">
        <v>55</v>
      </c>
      <c r="H37" s="4" t="s">
        <v>56</v>
      </c>
      <c r="I37" s="4" t="s">
        <v>57</v>
      </c>
      <c r="J37" s="4" t="s">
        <v>58</v>
      </c>
      <c r="K37" s="4" t="s">
        <v>59</v>
      </c>
      <c r="L37" s="4" t="s">
        <v>60</v>
      </c>
      <c r="M37" s="4" t="s">
        <v>61</v>
      </c>
      <c r="N37" s="4" t="s">
        <v>62</v>
      </c>
      <c r="O37" s="4" t="s">
        <v>63</v>
      </c>
      <c r="P37" s="4" t="s">
        <v>64</v>
      </c>
    </row>
    <row r="39" spans="2:16" x14ac:dyDescent="0.25">
      <c r="B39" t="s">
        <v>0</v>
      </c>
      <c r="G39" s="3">
        <f>'Conventional Corn'!$J$8+'Conventional Corn'!$J$9+'Conventional Corn'!$J$10</f>
        <v>25</v>
      </c>
      <c r="H39" s="18">
        <v>49</v>
      </c>
      <c r="I39" s="18">
        <v>49</v>
      </c>
      <c r="J39" s="18">
        <v>49</v>
      </c>
      <c r="K39" s="18">
        <v>49</v>
      </c>
      <c r="L39" s="18">
        <v>49</v>
      </c>
      <c r="M39" s="18">
        <v>49</v>
      </c>
      <c r="N39" s="18">
        <v>49</v>
      </c>
      <c r="O39" s="18">
        <v>49</v>
      </c>
      <c r="P39" s="18">
        <v>49</v>
      </c>
    </row>
    <row r="40" spans="2:16" x14ac:dyDescent="0.25">
      <c r="B40" t="s">
        <v>67</v>
      </c>
      <c r="G40" s="3">
        <f>'Conventional Soybeans'!$J$8+'Conventional Soybeans'!$J$9+'Conventional Soybeans'!$J$10</f>
        <v>20</v>
      </c>
      <c r="H40" s="18">
        <v>33.1</v>
      </c>
      <c r="I40" s="18">
        <v>33.1</v>
      </c>
      <c r="J40" s="18">
        <v>33.1</v>
      </c>
      <c r="K40" s="18">
        <v>33.1</v>
      </c>
      <c r="L40" s="18">
        <v>33.1</v>
      </c>
      <c r="M40" s="18">
        <v>33.1</v>
      </c>
      <c r="N40" s="18">
        <v>33.1</v>
      </c>
      <c r="O40" s="18">
        <v>33.1</v>
      </c>
      <c r="P40" s="18">
        <v>33.1</v>
      </c>
    </row>
    <row r="41" spans="2:16" x14ac:dyDescent="0.25">
      <c r="B41" t="s">
        <v>68</v>
      </c>
      <c r="G41" s="3">
        <f>'Transition Oats'!$J$10+'Transition Oats'!$J$11+'Transition Oats'!$I$12</f>
        <v>0</v>
      </c>
      <c r="H41" s="18">
        <v>20</v>
      </c>
      <c r="I41" s="18">
        <v>20</v>
      </c>
      <c r="J41" s="18">
        <v>20</v>
      </c>
      <c r="K41" s="18">
        <v>20</v>
      </c>
      <c r="L41" s="18">
        <v>20</v>
      </c>
      <c r="M41" s="18">
        <v>20</v>
      </c>
      <c r="N41" s="18">
        <v>20</v>
      </c>
      <c r="O41" s="18">
        <v>20</v>
      </c>
      <c r="P41" s="18">
        <v>20</v>
      </c>
    </row>
    <row r="42" spans="2:16" x14ac:dyDescent="0.25">
      <c r="B42" t="s">
        <v>69</v>
      </c>
      <c r="G42" s="3">
        <f>'Transition Alfalfa'!$J$8+'Transition Alfalfa'!$J$9+'Transition Alfalfa'!$I$10</f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2:16" x14ac:dyDescent="0.25">
      <c r="B43" t="s">
        <v>75</v>
      </c>
      <c r="G43" s="3">
        <f>'Organic Corn'!$J$8+'Organic Corn'!$J$9+'Organic Corn'!$J$10</f>
        <v>40</v>
      </c>
      <c r="H43" s="18">
        <v>64</v>
      </c>
      <c r="I43" s="18">
        <v>64</v>
      </c>
      <c r="J43" s="18">
        <v>64</v>
      </c>
      <c r="K43" s="18">
        <v>64</v>
      </c>
      <c r="L43" s="18">
        <v>64</v>
      </c>
      <c r="M43" s="18">
        <v>64</v>
      </c>
      <c r="N43" s="18">
        <v>64</v>
      </c>
      <c r="O43" s="18">
        <v>64</v>
      </c>
      <c r="P43" s="18">
        <v>64</v>
      </c>
    </row>
    <row r="44" spans="2:16" x14ac:dyDescent="0.25">
      <c r="B44" t="s">
        <v>76</v>
      </c>
      <c r="G44" s="3">
        <f>'Organic Soybeans'!$J$8+'Organic Soybeans'!$J$9+'Organic Soybeans'!$I$10</f>
        <v>35</v>
      </c>
      <c r="H44" s="18">
        <v>48.1</v>
      </c>
      <c r="I44" s="18">
        <v>48.1</v>
      </c>
      <c r="J44" s="18">
        <v>48.1</v>
      </c>
      <c r="K44" s="18">
        <v>48.1</v>
      </c>
      <c r="L44" s="18">
        <v>48.1</v>
      </c>
      <c r="M44" s="18">
        <v>48.1</v>
      </c>
      <c r="N44" s="18">
        <v>48.1</v>
      </c>
      <c r="O44" s="18">
        <v>48.1</v>
      </c>
      <c r="P44" s="18">
        <v>48.1</v>
      </c>
    </row>
    <row r="45" spans="2:16" x14ac:dyDescent="0.25">
      <c r="B45" t="s">
        <v>77</v>
      </c>
      <c r="G45" s="3">
        <f>'Organic Oats'!$J$10+'Organic Oats'!$J$11+'Organic Oats'!$I$12</f>
        <v>0</v>
      </c>
      <c r="H45" s="18">
        <v>20</v>
      </c>
      <c r="I45" s="18">
        <v>20</v>
      </c>
      <c r="J45" s="18">
        <v>20</v>
      </c>
      <c r="K45" s="18">
        <v>20</v>
      </c>
      <c r="L45" s="18">
        <v>20</v>
      </c>
      <c r="M45" s="18">
        <v>20</v>
      </c>
      <c r="N45" s="18">
        <v>20</v>
      </c>
      <c r="O45" s="18">
        <v>20</v>
      </c>
      <c r="P45" s="18">
        <v>20</v>
      </c>
    </row>
    <row r="46" spans="2:16" x14ac:dyDescent="0.25">
      <c r="B46" t="s">
        <v>78</v>
      </c>
      <c r="G46" s="3">
        <f>'Organic Alfalfa'!$J$8+'Organic Alfalfa'!$J$9+'Organic Alfalfa'!$I$10</f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</row>
    <row r="49" spans="2:16" x14ac:dyDescent="0.25">
      <c r="B49" s="7" t="s">
        <v>88</v>
      </c>
    </row>
    <row r="51" spans="2:16" x14ac:dyDescent="0.25">
      <c r="E51" s="10" t="s">
        <v>81</v>
      </c>
      <c r="G51" s="4" t="s">
        <v>55</v>
      </c>
      <c r="H51" s="4" t="s">
        <v>56</v>
      </c>
      <c r="I51" s="4" t="s">
        <v>57</v>
      </c>
      <c r="J51" s="4" t="s">
        <v>58</v>
      </c>
      <c r="K51" s="4" t="s">
        <v>59</v>
      </c>
      <c r="L51" s="4" t="s">
        <v>60</v>
      </c>
      <c r="M51" s="4" t="s">
        <v>61</v>
      </c>
      <c r="N51" s="4" t="s">
        <v>62</v>
      </c>
      <c r="O51" s="4" t="s">
        <v>63</v>
      </c>
      <c r="P51" s="4" t="s">
        <v>64</v>
      </c>
    </row>
    <row r="53" spans="2:16" x14ac:dyDescent="0.25">
      <c r="B53" t="s">
        <v>0</v>
      </c>
      <c r="E53" s="41">
        <v>0</v>
      </c>
      <c r="G53" s="3">
        <f>'Conventional Corn'!$H$105</f>
        <v>621.58519349999995</v>
      </c>
      <c r="H53" s="3">
        <f>G53*(1+$E$53)</f>
        <v>621.58519349999995</v>
      </c>
      <c r="I53" s="3">
        <f t="shared" ref="I53:N53" si="12">H53*(1+$E$53)</f>
        <v>621.58519349999995</v>
      </c>
      <c r="J53" s="3">
        <f t="shared" si="12"/>
        <v>621.58519349999995</v>
      </c>
      <c r="K53" s="3">
        <f t="shared" si="12"/>
        <v>621.58519349999995</v>
      </c>
      <c r="L53" s="3">
        <f t="shared" si="12"/>
        <v>621.58519349999995</v>
      </c>
      <c r="M53" s="3">
        <f t="shared" si="12"/>
        <v>621.58519349999995</v>
      </c>
      <c r="N53" s="3">
        <f t="shared" si="12"/>
        <v>621.58519349999995</v>
      </c>
      <c r="O53" s="3">
        <f t="shared" ref="O53:P53" si="13">N53*(1+$E$53)</f>
        <v>621.58519349999995</v>
      </c>
      <c r="P53" s="3">
        <f t="shared" si="13"/>
        <v>621.58519349999995</v>
      </c>
    </row>
    <row r="54" spans="2:16" x14ac:dyDescent="0.25">
      <c r="B54" t="s">
        <v>67</v>
      </c>
      <c r="E54" s="41">
        <v>0</v>
      </c>
      <c r="G54" s="3">
        <f>'Conventional Soybeans'!$H$105</f>
        <v>327.20808149999999</v>
      </c>
      <c r="H54" s="3">
        <f>G54*(1+$E$54)</f>
        <v>327.20808149999999</v>
      </c>
      <c r="I54" s="3">
        <f t="shared" ref="I54:P54" si="14">H54*(1+$E$54)</f>
        <v>327.20808149999999</v>
      </c>
      <c r="J54" s="3">
        <f t="shared" si="14"/>
        <v>327.20808149999999</v>
      </c>
      <c r="K54" s="3">
        <f t="shared" si="14"/>
        <v>327.20808149999999</v>
      </c>
      <c r="L54" s="3">
        <f t="shared" si="14"/>
        <v>327.20808149999999</v>
      </c>
      <c r="M54" s="3">
        <f t="shared" si="14"/>
        <v>327.20808149999999</v>
      </c>
      <c r="N54" s="3">
        <f t="shared" si="14"/>
        <v>327.20808149999999</v>
      </c>
      <c r="O54" s="3">
        <f t="shared" si="14"/>
        <v>327.20808149999999</v>
      </c>
      <c r="P54" s="3">
        <f t="shared" si="14"/>
        <v>327.20808149999999</v>
      </c>
    </row>
    <row r="55" spans="2:16" x14ac:dyDescent="0.25">
      <c r="B55" t="s">
        <v>68</v>
      </c>
      <c r="E55" s="41">
        <v>0</v>
      </c>
      <c r="G55" s="3">
        <f>'Transition Oats'!$H$110</f>
        <v>173.10250000000002</v>
      </c>
      <c r="H55" s="3">
        <f>G55*(1+$E$55)</f>
        <v>173.10250000000002</v>
      </c>
      <c r="I55" s="3">
        <f t="shared" ref="I55:P55" si="15">H55*(1+$E$55)</f>
        <v>173.10250000000002</v>
      </c>
      <c r="J55" s="3">
        <f t="shared" si="15"/>
        <v>173.10250000000002</v>
      </c>
      <c r="K55" s="3">
        <f t="shared" si="15"/>
        <v>173.10250000000002</v>
      </c>
      <c r="L55" s="3">
        <f t="shared" si="15"/>
        <v>173.10250000000002</v>
      </c>
      <c r="M55" s="3">
        <f t="shared" si="15"/>
        <v>173.10250000000002</v>
      </c>
      <c r="N55" s="3">
        <f t="shared" si="15"/>
        <v>173.10250000000002</v>
      </c>
      <c r="O55" s="3">
        <f t="shared" si="15"/>
        <v>173.10250000000002</v>
      </c>
      <c r="P55" s="3">
        <f t="shared" si="15"/>
        <v>173.10250000000002</v>
      </c>
    </row>
    <row r="56" spans="2:16" x14ac:dyDescent="0.25">
      <c r="B56" t="s">
        <v>69</v>
      </c>
      <c r="E56" s="41">
        <v>0</v>
      </c>
      <c r="G56" s="3">
        <f>'Transition Alfalfa'!$H$92</f>
        <v>137.065</v>
      </c>
      <c r="H56" s="3">
        <f>G56*(1+$E$56)</f>
        <v>137.065</v>
      </c>
      <c r="I56" s="3">
        <f t="shared" ref="I56:P56" si="16">H56*(1+$E$56)</f>
        <v>137.065</v>
      </c>
      <c r="J56" s="3">
        <f t="shared" si="16"/>
        <v>137.065</v>
      </c>
      <c r="K56" s="3">
        <f t="shared" si="16"/>
        <v>137.065</v>
      </c>
      <c r="L56" s="3">
        <f t="shared" si="16"/>
        <v>137.065</v>
      </c>
      <c r="M56" s="3">
        <f t="shared" si="16"/>
        <v>137.065</v>
      </c>
      <c r="N56" s="3">
        <f t="shared" si="16"/>
        <v>137.065</v>
      </c>
      <c r="O56" s="3">
        <f t="shared" si="16"/>
        <v>137.065</v>
      </c>
      <c r="P56" s="3">
        <f t="shared" si="16"/>
        <v>137.065</v>
      </c>
    </row>
    <row r="57" spans="2:16" x14ac:dyDescent="0.25">
      <c r="B57" t="s">
        <v>75</v>
      </c>
      <c r="E57" s="41">
        <v>0</v>
      </c>
      <c r="G57" s="3">
        <f>'Organic Corn'!$H$102</f>
        <v>559.42064500000004</v>
      </c>
      <c r="H57" s="3">
        <f>G57*(1+$E$57)</f>
        <v>559.42064500000004</v>
      </c>
      <c r="I57" s="3">
        <f t="shared" ref="I57:J57" si="17">H57*(1+$E$57)</f>
        <v>559.42064500000004</v>
      </c>
      <c r="J57" s="3">
        <f t="shared" si="17"/>
        <v>559.42064500000004</v>
      </c>
      <c r="K57" s="3">
        <f t="shared" ref="K57:M57" si="18">J57*(1+$E$57)</f>
        <v>559.42064500000004</v>
      </c>
      <c r="L57" s="3">
        <f t="shared" si="18"/>
        <v>559.42064500000004</v>
      </c>
      <c r="M57" s="3">
        <f t="shared" si="18"/>
        <v>559.42064500000004</v>
      </c>
      <c r="N57" s="3">
        <f t="shared" ref="N57:P57" si="19">M57*(1+$E$57)</f>
        <v>559.42064500000004</v>
      </c>
      <c r="O57" s="3">
        <f t="shared" si="19"/>
        <v>559.42064500000004</v>
      </c>
      <c r="P57" s="3">
        <f t="shared" si="19"/>
        <v>559.42064500000004</v>
      </c>
    </row>
    <row r="58" spans="2:16" x14ac:dyDescent="0.25">
      <c r="B58" t="s">
        <v>76</v>
      </c>
      <c r="E58" s="41">
        <v>0</v>
      </c>
      <c r="G58" s="3">
        <f>'Organic Soybeans'!$H$103</f>
        <v>304.705645</v>
      </c>
      <c r="H58" s="3">
        <f>G58*(1+$E$58)</f>
        <v>304.705645</v>
      </c>
      <c r="I58" s="3">
        <f t="shared" ref="I58:J58" si="20">H58*(1+$E$58)</f>
        <v>304.705645</v>
      </c>
      <c r="J58" s="3">
        <f t="shared" si="20"/>
        <v>304.705645</v>
      </c>
      <c r="K58" s="3">
        <f t="shared" ref="K58:M58" si="21">J58*(1+$E$58)</f>
        <v>304.705645</v>
      </c>
      <c r="L58" s="3">
        <f t="shared" si="21"/>
        <v>304.705645</v>
      </c>
      <c r="M58" s="3">
        <f t="shared" si="21"/>
        <v>304.705645</v>
      </c>
      <c r="N58" s="3">
        <f t="shared" ref="N58:P58" si="22">M58*(1+$E$58)</f>
        <v>304.705645</v>
      </c>
      <c r="O58" s="3">
        <f t="shared" si="22"/>
        <v>304.705645</v>
      </c>
      <c r="P58" s="3">
        <f t="shared" si="22"/>
        <v>304.705645</v>
      </c>
    </row>
    <row r="59" spans="2:16" x14ac:dyDescent="0.25">
      <c r="B59" t="s">
        <v>77</v>
      </c>
      <c r="E59" s="41">
        <v>0</v>
      </c>
      <c r="G59" s="3">
        <f>'Organic Oats'!$H$109</f>
        <v>173.10250000000002</v>
      </c>
      <c r="H59" s="3">
        <f>G59*(1+$E$59)</f>
        <v>173.10250000000002</v>
      </c>
      <c r="I59" s="3">
        <f t="shared" ref="I59:P59" si="23">H59*(1+$E$59)</f>
        <v>173.10250000000002</v>
      </c>
      <c r="J59" s="3">
        <f t="shared" si="23"/>
        <v>173.10250000000002</v>
      </c>
      <c r="K59" s="3">
        <f t="shared" si="23"/>
        <v>173.10250000000002</v>
      </c>
      <c r="L59" s="3">
        <f t="shared" si="23"/>
        <v>173.10250000000002</v>
      </c>
      <c r="M59" s="3">
        <f t="shared" si="23"/>
        <v>173.10250000000002</v>
      </c>
      <c r="N59" s="3">
        <f t="shared" si="23"/>
        <v>173.10250000000002</v>
      </c>
      <c r="O59" s="3">
        <f t="shared" si="23"/>
        <v>173.10250000000002</v>
      </c>
      <c r="P59" s="3">
        <f t="shared" si="23"/>
        <v>173.10250000000002</v>
      </c>
    </row>
    <row r="60" spans="2:16" x14ac:dyDescent="0.25">
      <c r="B60" t="s">
        <v>78</v>
      </c>
      <c r="E60" s="41">
        <v>0</v>
      </c>
      <c r="G60" s="3">
        <f>'Organic Alfalfa'!$H$92</f>
        <v>137.065</v>
      </c>
      <c r="H60" s="3">
        <f>G60*(1+$E$60)</f>
        <v>137.065</v>
      </c>
      <c r="I60" s="3">
        <f t="shared" ref="I60:P60" si="24">H60*(1+$E$60)</f>
        <v>137.065</v>
      </c>
      <c r="J60" s="3">
        <f t="shared" si="24"/>
        <v>137.065</v>
      </c>
      <c r="K60" s="3">
        <f t="shared" si="24"/>
        <v>137.065</v>
      </c>
      <c r="L60" s="3">
        <f t="shared" si="24"/>
        <v>137.065</v>
      </c>
      <c r="M60" s="3">
        <f t="shared" si="24"/>
        <v>137.065</v>
      </c>
      <c r="N60" s="3">
        <f t="shared" si="24"/>
        <v>137.065</v>
      </c>
      <c r="O60" s="3">
        <f t="shared" si="24"/>
        <v>137.065</v>
      </c>
      <c r="P60" s="3">
        <f t="shared" si="24"/>
        <v>137.065</v>
      </c>
    </row>
    <row r="63" spans="2:16" x14ac:dyDescent="0.25">
      <c r="B63" s="7" t="s">
        <v>111</v>
      </c>
    </row>
    <row r="65" spans="2:16" x14ac:dyDescent="0.25">
      <c r="E65" s="10" t="s">
        <v>81</v>
      </c>
      <c r="G65" s="4" t="s">
        <v>55</v>
      </c>
      <c r="H65" s="4" t="s">
        <v>56</v>
      </c>
      <c r="I65" s="4" t="s">
        <v>57</v>
      </c>
      <c r="J65" s="4" t="s">
        <v>58</v>
      </c>
      <c r="K65" s="4" t="s">
        <v>59</v>
      </c>
      <c r="L65" s="4" t="s">
        <v>60</v>
      </c>
      <c r="M65" s="4" t="s">
        <v>61</v>
      </c>
      <c r="N65" s="4" t="s">
        <v>62</v>
      </c>
      <c r="O65" s="4" t="s">
        <v>63</v>
      </c>
      <c r="P65" s="4" t="s">
        <v>64</v>
      </c>
    </row>
    <row r="67" spans="2:16" x14ac:dyDescent="0.25">
      <c r="B67" t="s">
        <v>0</v>
      </c>
      <c r="E67" s="41">
        <v>0</v>
      </c>
      <c r="G67" s="3">
        <f>'Conventional Corn'!$I$105-'Conventional Corn'!$I$101</f>
        <v>148.49</v>
      </c>
      <c r="H67" s="3">
        <f t="shared" ref="H67:P67" si="25">G67*(1+$E$67)</f>
        <v>148.49</v>
      </c>
      <c r="I67" s="3">
        <f t="shared" si="25"/>
        <v>148.49</v>
      </c>
      <c r="J67" s="3">
        <f t="shared" si="25"/>
        <v>148.49</v>
      </c>
      <c r="K67" s="3">
        <f t="shared" si="25"/>
        <v>148.49</v>
      </c>
      <c r="L67" s="3">
        <f t="shared" si="25"/>
        <v>148.49</v>
      </c>
      <c r="M67" s="3">
        <f t="shared" si="25"/>
        <v>148.49</v>
      </c>
      <c r="N67" s="3">
        <f t="shared" si="25"/>
        <v>148.49</v>
      </c>
      <c r="O67" s="3">
        <f t="shared" si="25"/>
        <v>148.49</v>
      </c>
      <c r="P67" s="3">
        <f t="shared" si="25"/>
        <v>148.49</v>
      </c>
    </row>
    <row r="68" spans="2:16" x14ac:dyDescent="0.25">
      <c r="B68" t="s">
        <v>67</v>
      </c>
      <c r="E68" s="41">
        <v>0</v>
      </c>
      <c r="G68" s="3">
        <f>'Conventional Soybeans'!$I$105-'Conventional Soybeans'!$I$101</f>
        <v>124.89999999999998</v>
      </c>
      <c r="H68" s="3">
        <f>G68*(1+$E$68)</f>
        <v>124.89999999999998</v>
      </c>
      <c r="I68" s="3">
        <f t="shared" ref="I68:P68" si="26">H68*(1+$E$68)</f>
        <v>124.89999999999998</v>
      </c>
      <c r="J68" s="3">
        <f t="shared" si="26"/>
        <v>124.89999999999998</v>
      </c>
      <c r="K68" s="3">
        <f t="shared" si="26"/>
        <v>124.89999999999998</v>
      </c>
      <c r="L68" s="3">
        <f t="shared" si="26"/>
        <v>124.89999999999998</v>
      </c>
      <c r="M68" s="3">
        <f t="shared" si="26"/>
        <v>124.89999999999998</v>
      </c>
      <c r="N68" s="3">
        <f t="shared" si="26"/>
        <v>124.89999999999998</v>
      </c>
      <c r="O68" s="3">
        <f t="shared" si="26"/>
        <v>124.89999999999998</v>
      </c>
      <c r="P68" s="3">
        <f t="shared" si="26"/>
        <v>124.89999999999998</v>
      </c>
    </row>
    <row r="69" spans="2:16" x14ac:dyDescent="0.25">
      <c r="B69" t="s">
        <v>68</v>
      </c>
      <c r="E69" s="41">
        <v>0</v>
      </c>
      <c r="G69" s="3">
        <f>'Transition Oats'!$I$110-'Transition Oats'!$I$106</f>
        <v>172.97000000000003</v>
      </c>
      <c r="H69" s="3">
        <f>G69*(1+$E$69)</f>
        <v>172.97000000000003</v>
      </c>
      <c r="I69" s="3">
        <f t="shared" ref="I69:M69" si="27">H69*(1+$E$69)</f>
        <v>172.97000000000003</v>
      </c>
      <c r="J69" s="3">
        <f t="shared" si="27"/>
        <v>172.97000000000003</v>
      </c>
      <c r="K69" s="3">
        <f t="shared" si="27"/>
        <v>172.97000000000003</v>
      </c>
      <c r="L69" s="3">
        <f t="shared" si="27"/>
        <v>172.97000000000003</v>
      </c>
      <c r="M69" s="3">
        <f t="shared" si="27"/>
        <v>172.97000000000003</v>
      </c>
      <c r="N69" s="3">
        <f t="shared" ref="N69:P69" si="28">M69*(1+$E$69)</f>
        <v>172.97000000000003</v>
      </c>
      <c r="O69" s="3">
        <f t="shared" si="28"/>
        <v>172.97000000000003</v>
      </c>
      <c r="P69" s="3">
        <f t="shared" si="28"/>
        <v>172.97000000000003</v>
      </c>
    </row>
    <row r="70" spans="2:16" x14ac:dyDescent="0.25">
      <c r="B70" t="s">
        <v>69</v>
      </c>
      <c r="E70" s="41">
        <v>0</v>
      </c>
      <c r="G70" s="3">
        <f>'Transition Alfalfa'!$I$92-'Transition Alfalfa'!$I$88</f>
        <v>255.64999999999998</v>
      </c>
      <c r="H70" s="3">
        <f>G70*(1+$E$70)</f>
        <v>255.64999999999998</v>
      </c>
      <c r="I70" s="3">
        <f t="shared" ref="I70:M70" si="29">H70*(1+$E$70)</f>
        <v>255.64999999999998</v>
      </c>
      <c r="J70" s="3">
        <f t="shared" si="29"/>
        <v>255.64999999999998</v>
      </c>
      <c r="K70" s="3">
        <f t="shared" si="29"/>
        <v>255.64999999999998</v>
      </c>
      <c r="L70" s="3">
        <f t="shared" si="29"/>
        <v>255.64999999999998</v>
      </c>
      <c r="M70" s="3">
        <f t="shared" si="29"/>
        <v>255.64999999999998</v>
      </c>
      <c r="N70" s="3">
        <f t="shared" ref="N70:P70" si="30">M70*(1+$E$70)</f>
        <v>255.64999999999998</v>
      </c>
      <c r="O70" s="3">
        <f t="shared" si="30"/>
        <v>255.64999999999998</v>
      </c>
      <c r="P70" s="3">
        <f t="shared" si="30"/>
        <v>255.64999999999998</v>
      </c>
    </row>
    <row r="71" spans="2:16" x14ac:dyDescent="0.25">
      <c r="B71" t="s">
        <v>75</v>
      </c>
      <c r="E71" s="41">
        <v>0</v>
      </c>
      <c r="G71" s="3">
        <f>'Organic Corn'!$I$102-'Organic Corn'!$I$98</f>
        <v>251.74</v>
      </c>
      <c r="H71" s="3">
        <f>G71*(1+$E$71)</f>
        <v>251.74</v>
      </c>
      <c r="I71" s="3">
        <f t="shared" ref="I71:J71" si="31">H71*(1+$E$71)</f>
        <v>251.74</v>
      </c>
      <c r="J71" s="3">
        <f t="shared" si="31"/>
        <v>251.74</v>
      </c>
      <c r="K71" s="3">
        <f t="shared" ref="K71:L71" si="32">J71*(1+$E$71)</f>
        <v>251.74</v>
      </c>
      <c r="L71" s="3">
        <f t="shared" si="32"/>
        <v>251.74</v>
      </c>
      <c r="M71" s="3">
        <f t="shared" ref="M71:P71" si="33">L71*(1+$E$71)</f>
        <v>251.74</v>
      </c>
      <c r="N71" s="3">
        <f t="shared" si="33"/>
        <v>251.74</v>
      </c>
      <c r="O71" s="3">
        <f t="shared" si="33"/>
        <v>251.74</v>
      </c>
      <c r="P71" s="3">
        <f t="shared" si="33"/>
        <v>251.74</v>
      </c>
    </row>
    <row r="72" spans="2:16" x14ac:dyDescent="0.25">
      <c r="B72" t="s">
        <v>76</v>
      </c>
      <c r="E72" s="41">
        <v>0</v>
      </c>
      <c r="G72" s="3">
        <f>'Organic Soybeans'!$I$103-'Organic Soybeans'!$I$99</f>
        <v>195.53999999999996</v>
      </c>
      <c r="H72" s="3">
        <f>G72*(1+$E$72)</f>
        <v>195.53999999999996</v>
      </c>
      <c r="I72" s="3">
        <f t="shared" ref="I72:J72" si="34">H72*(1+$E$72)</f>
        <v>195.53999999999996</v>
      </c>
      <c r="J72" s="3">
        <f t="shared" si="34"/>
        <v>195.53999999999996</v>
      </c>
      <c r="K72" s="3">
        <f t="shared" ref="K72:L72" si="35">J72*(1+$E$72)</f>
        <v>195.53999999999996</v>
      </c>
      <c r="L72" s="3">
        <f t="shared" si="35"/>
        <v>195.53999999999996</v>
      </c>
      <c r="M72" s="3">
        <f t="shared" ref="M72:P72" si="36">L72*(1+$E$72)</f>
        <v>195.53999999999996</v>
      </c>
      <c r="N72" s="3">
        <f t="shared" si="36"/>
        <v>195.53999999999996</v>
      </c>
      <c r="O72" s="3">
        <f t="shared" si="36"/>
        <v>195.53999999999996</v>
      </c>
      <c r="P72" s="3">
        <f t="shared" si="36"/>
        <v>195.53999999999996</v>
      </c>
    </row>
    <row r="73" spans="2:16" x14ac:dyDescent="0.25">
      <c r="B73" t="s">
        <v>77</v>
      </c>
      <c r="E73" s="41">
        <v>0</v>
      </c>
      <c r="G73" s="3">
        <f>'Organic Oats'!$I$109-'Organic Oats'!$I$105</f>
        <v>172.97000000000003</v>
      </c>
      <c r="H73" s="3">
        <f>G73*(1+$E$73)</f>
        <v>172.97000000000003</v>
      </c>
      <c r="I73" s="3">
        <f t="shared" ref="I73:P73" si="37">H73*(1+$E$73)</f>
        <v>172.97000000000003</v>
      </c>
      <c r="J73" s="3">
        <f t="shared" si="37"/>
        <v>172.97000000000003</v>
      </c>
      <c r="K73" s="3">
        <f t="shared" si="37"/>
        <v>172.97000000000003</v>
      </c>
      <c r="L73" s="3">
        <f t="shared" si="37"/>
        <v>172.97000000000003</v>
      </c>
      <c r="M73" s="3">
        <f t="shared" si="37"/>
        <v>172.97000000000003</v>
      </c>
      <c r="N73" s="3">
        <f t="shared" si="37"/>
        <v>172.97000000000003</v>
      </c>
      <c r="O73" s="3">
        <f t="shared" si="37"/>
        <v>172.97000000000003</v>
      </c>
      <c r="P73" s="3">
        <f t="shared" si="37"/>
        <v>172.97000000000003</v>
      </c>
    </row>
    <row r="74" spans="2:16" x14ac:dyDescent="0.25">
      <c r="B74" t="s">
        <v>78</v>
      </c>
      <c r="E74" s="41">
        <v>0</v>
      </c>
      <c r="G74" s="3">
        <f>'Organic Alfalfa'!$I$92-'Organic Alfalfa'!$I$88</f>
        <v>255.64999999999998</v>
      </c>
      <c r="H74" s="3">
        <f>G74*(1+$E$74)</f>
        <v>255.64999999999998</v>
      </c>
      <c r="I74" s="3">
        <f t="shared" ref="I74:P74" si="38">H74*(1+$E$74)</f>
        <v>255.64999999999998</v>
      </c>
      <c r="J74" s="3">
        <f t="shared" si="38"/>
        <v>255.64999999999998</v>
      </c>
      <c r="K74" s="3">
        <f t="shared" si="38"/>
        <v>255.64999999999998</v>
      </c>
      <c r="L74" s="3">
        <f t="shared" si="38"/>
        <v>255.64999999999998</v>
      </c>
      <c r="M74" s="3">
        <f t="shared" si="38"/>
        <v>255.64999999999998</v>
      </c>
      <c r="N74" s="3">
        <f t="shared" si="38"/>
        <v>255.64999999999998</v>
      </c>
      <c r="O74" s="3">
        <f t="shared" si="38"/>
        <v>255.64999999999998</v>
      </c>
      <c r="P74" s="3">
        <f t="shared" si="38"/>
        <v>255.64999999999998</v>
      </c>
    </row>
    <row r="77" spans="2:16" x14ac:dyDescent="0.25">
      <c r="B77" s="7" t="s">
        <v>112</v>
      </c>
    </row>
    <row r="79" spans="2:16" x14ac:dyDescent="0.25">
      <c r="E79" s="10" t="s">
        <v>81</v>
      </c>
      <c r="G79" s="4" t="s">
        <v>55</v>
      </c>
      <c r="H79" s="4" t="s">
        <v>56</v>
      </c>
      <c r="I79" s="4" t="s">
        <v>57</v>
      </c>
      <c r="J79" s="4" t="s">
        <v>58</v>
      </c>
      <c r="K79" s="4" t="s">
        <v>59</v>
      </c>
      <c r="L79" s="4" t="s">
        <v>60</v>
      </c>
      <c r="M79" s="4" t="s">
        <v>61</v>
      </c>
      <c r="N79" s="4" t="s">
        <v>62</v>
      </c>
      <c r="O79" s="4" t="s">
        <v>63</v>
      </c>
      <c r="P79" s="4" t="s">
        <v>64</v>
      </c>
    </row>
    <row r="81" spans="2:16" x14ac:dyDescent="0.25">
      <c r="B81" t="s">
        <v>0</v>
      </c>
      <c r="E81" s="41">
        <v>0</v>
      </c>
      <c r="G81" s="3">
        <f>'Conventional Corn'!$I$101</f>
        <v>255</v>
      </c>
      <c r="H81" s="3">
        <f>G81*(1+$E$81)</f>
        <v>255</v>
      </c>
      <c r="I81" s="3">
        <f t="shared" ref="I81:J81" si="39">H81*(1+$E$81)</f>
        <v>255</v>
      </c>
      <c r="J81" s="3">
        <f t="shared" si="39"/>
        <v>255</v>
      </c>
      <c r="K81" s="3">
        <f t="shared" ref="K81:M81" si="40">J81*(1+$E$81)</f>
        <v>255</v>
      </c>
      <c r="L81" s="3">
        <f t="shared" si="40"/>
        <v>255</v>
      </c>
      <c r="M81" s="3">
        <f t="shared" si="40"/>
        <v>255</v>
      </c>
      <c r="N81" s="3">
        <f t="shared" ref="N81:P81" si="41">M81*(1+$E$81)</f>
        <v>255</v>
      </c>
      <c r="O81" s="3">
        <f t="shared" si="41"/>
        <v>255</v>
      </c>
      <c r="P81" s="3">
        <f t="shared" si="41"/>
        <v>255</v>
      </c>
    </row>
    <row r="82" spans="2:16" x14ac:dyDescent="0.25">
      <c r="B82" t="s">
        <v>67</v>
      </c>
      <c r="E82" s="41">
        <v>0</v>
      </c>
      <c r="G82" s="3">
        <f>'Conventional Soybeans'!$I$101</f>
        <v>255</v>
      </c>
      <c r="H82" s="3">
        <f>G82*(1+$E$82)</f>
        <v>255</v>
      </c>
      <c r="I82" s="3">
        <f t="shared" ref="I82:J82" si="42">H82*(1+$E$82)</f>
        <v>255</v>
      </c>
      <c r="J82" s="3">
        <f t="shared" si="42"/>
        <v>255</v>
      </c>
      <c r="K82" s="3">
        <f t="shared" ref="K82:M82" si="43">J82*(1+$E$82)</f>
        <v>255</v>
      </c>
      <c r="L82" s="3">
        <f t="shared" si="43"/>
        <v>255</v>
      </c>
      <c r="M82" s="3">
        <f t="shared" si="43"/>
        <v>255</v>
      </c>
      <c r="N82" s="3">
        <f t="shared" ref="N82:P82" si="44">M82*(1+$E$82)</f>
        <v>255</v>
      </c>
      <c r="O82" s="3">
        <f t="shared" si="44"/>
        <v>255</v>
      </c>
      <c r="P82" s="3">
        <f t="shared" si="44"/>
        <v>255</v>
      </c>
    </row>
    <row r="83" spans="2:16" x14ac:dyDescent="0.25">
      <c r="B83" t="s">
        <v>68</v>
      </c>
      <c r="E83" s="41">
        <v>0</v>
      </c>
      <c r="G83" s="3">
        <f>'Transition Oats'!$I$106</f>
        <v>255</v>
      </c>
      <c r="H83" s="3">
        <f>G83*(1+$E$83)</f>
        <v>255</v>
      </c>
      <c r="I83" s="3">
        <f t="shared" ref="I83:J83" si="45">H83*(1+$E$83)</f>
        <v>255</v>
      </c>
      <c r="J83" s="3">
        <f t="shared" si="45"/>
        <v>255</v>
      </c>
      <c r="K83" s="3">
        <f t="shared" ref="K83:M83" si="46">J83*(1+$E$83)</f>
        <v>255</v>
      </c>
      <c r="L83" s="3">
        <f t="shared" si="46"/>
        <v>255</v>
      </c>
      <c r="M83" s="3">
        <f t="shared" si="46"/>
        <v>255</v>
      </c>
      <c r="N83" s="3">
        <f t="shared" ref="N83:P83" si="47">M83*(1+$E$83)</f>
        <v>255</v>
      </c>
      <c r="O83" s="3">
        <f t="shared" si="47"/>
        <v>255</v>
      </c>
      <c r="P83" s="3">
        <f t="shared" si="47"/>
        <v>255</v>
      </c>
    </row>
    <row r="84" spans="2:16" x14ac:dyDescent="0.25">
      <c r="B84" t="s">
        <v>69</v>
      </c>
      <c r="E84" s="41">
        <v>0</v>
      </c>
      <c r="G84" s="3">
        <f>'Transition Alfalfa'!$I$88</f>
        <v>255</v>
      </c>
      <c r="H84" s="3">
        <f>G84*(1+$E$84)</f>
        <v>255</v>
      </c>
      <c r="I84" s="3">
        <f t="shared" ref="I84:J84" si="48">H84*(1+$E$84)</f>
        <v>255</v>
      </c>
      <c r="J84" s="3">
        <f t="shared" si="48"/>
        <v>255</v>
      </c>
      <c r="K84" s="3">
        <f t="shared" ref="K84:M84" si="49">J84*(1+$E$84)</f>
        <v>255</v>
      </c>
      <c r="L84" s="3">
        <f t="shared" si="49"/>
        <v>255</v>
      </c>
      <c r="M84" s="3">
        <f t="shared" si="49"/>
        <v>255</v>
      </c>
      <c r="N84" s="3">
        <f t="shared" ref="N84:P84" si="50">M84*(1+$E$84)</f>
        <v>255</v>
      </c>
      <c r="O84" s="3">
        <f t="shared" si="50"/>
        <v>255</v>
      </c>
      <c r="P84" s="3">
        <f t="shared" si="50"/>
        <v>255</v>
      </c>
    </row>
    <row r="85" spans="2:16" x14ac:dyDescent="0.25">
      <c r="B85" t="s">
        <v>75</v>
      </c>
      <c r="E85" s="41">
        <v>0</v>
      </c>
      <c r="G85" s="3">
        <f>'Organic Corn'!$I$98</f>
        <v>255</v>
      </c>
      <c r="H85" s="3">
        <f>G85*(1+$E$85)</f>
        <v>255</v>
      </c>
      <c r="I85" s="3">
        <f t="shared" ref="I85:K85" si="51">H85*(1+$E$85)</f>
        <v>255</v>
      </c>
      <c r="J85" s="3">
        <f t="shared" si="51"/>
        <v>255</v>
      </c>
      <c r="K85" s="3">
        <f t="shared" si="51"/>
        <v>255</v>
      </c>
      <c r="L85" s="3">
        <f t="shared" ref="L85:N85" si="52">K85*(1+$E$85)</f>
        <v>255</v>
      </c>
      <c r="M85" s="3">
        <f t="shared" si="52"/>
        <v>255</v>
      </c>
      <c r="N85" s="3">
        <f t="shared" si="52"/>
        <v>255</v>
      </c>
      <c r="O85" s="3">
        <f t="shared" ref="O85:P85" si="53">N85*(1+$E$85)</f>
        <v>255</v>
      </c>
      <c r="P85" s="3">
        <f t="shared" si="53"/>
        <v>255</v>
      </c>
    </row>
    <row r="86" spans="2:16" x14ac:dyDescent="0.25">
      <c r="B86" t="s">
        <v>76</v>
      </c>
      <c r="E86" s="41">
        <v>0</v>
      </c>
      <c r="G86" s="3">
        <f>'Organic Soybeans'!$I$99</f>
        <v>255</v>
      </c>
      <c r="H86" s="3">
        <f>G86*(1+$E$86)</f>
        <v>255</v>
      </c>
      <c r="I86" s="3">
        <f t="shared" ref="I86:K86" si="54">H86*(1+$E$86)</f>
        <v>255</v>
      </c>
      <c r="J86" s="3">
        <f t="shared" si="54"/>
        <v>255</v>
      </c>
      <c r="K86" s="3">
        <f t="shared" si="54"/>
        <v>255</v>
      </c>
      <c r="L86" s="3">
        <f t="shared" ref="L86:N86" si="55">K86*(1+$E$86)</f>
        <v>255</v>
      </c>
      <c r="M86" s="3">
        <f t="shared" si="55"/>
        <v>255</v>
      </c>
      <c r="N86" s="3">
        <f t="shared" si="55"/>
        <v>255</v>
      </c>
      <c r="O86" s="3">
        <f t="shared" ref="O86:P86" si="56">N86*(1+$E$86)</f>
        <v>255</v>
      </c>
      <c r="P86" s="3">
        <f t="shared" si="56"/>
        <v>255</v>
      </c>
    </row>
    <row r="87" spans="2:16" x14ac:dyDescent="0.25">
      <c r="B87" t="s">
        <v>77</v>
      </c>
      <c r="E87" s="41">
        <v>0</v>
      </c>
      <c r="G87" s="3">
        <f>'Organic Oats'!$I$105</f>
        <v>255</v>
      </c>
      <c r="H87" s="3">
        <f>G87*(1+$E$87)</f>
        <v>255</v>
      </c>
      <c r="I87" s="3">
        <f t="shared" ref="I87:K87" si="57">H87*(1+$E$87)</f>
        <v>255</v>
      </c>
      <c r="J87" s="3">
        <f t="shared" si="57"/>
        <v>255</v>
      </c>
      <c r="K87" s="3">
        <f t="shared" si="57"/>
        <v>255</v>
      </c>
      <c r="L87" s="3">
        <f t="shared" ref="L87:N87" si="58">K87*(1+$E$87)</f>
        <v>255</v>
      </c>
      <c r="M87" s="3">
        <f t="shared" si="58"/>
        <v>255</v>
      </c>
      <c r="N87" s="3">
        <f t="shared" si="58"/>
        <v>255</v>
      </c>
      <c r="O87" s="3">
        <f t="shared" ref="O87:P87" si="59">N87*(1+$E$87)</f>
        <v>255</v>
      </c>
      <c r="P87" s="3">
        <f t="shared" si="59"/>
        <v>255</v>
      </c>
    </row>
    <row r="88" spans="2:16" x14ac:dyDescent="0.25">
      <c r="B88" t="s">
        <v>78</v>
      </c>
      <c r="E88" s="41">
        <v>0</v>
      </c>
      <c r="G88" s="3">
        <f>'Organic Alfalfa'!$I$88</f>
        <v>255</v>
      </c>
      <c r="H88" s="3">
        <f>G88*(1+$E$88)</f>
        <v>255</v>
      </c>
      <c r="I88" s="3">
        <f t="shared" ref="I88:K88" si="60">H88*(1+$E$88)</f>
        <v>255</v>
      </c>
      <c r="J88" s="3">
        <f t="shared" si="60"/>
        <v>255</v>
      </c>
      <c r="K88" s="3">
        <f t="shared" si="60"/>
        <v>255</v>
      </c>
      <c r="L88" s="3">
        <f t="shared" ref="L88:N88" si="61">K88*(1+$E$88)</f>
        <v>255</v>
      </c>
      <c r="M88" s="3">
        <f t="shared" si="61"/>
        <v>255</v>
      </c>
      <c r="N88" s="3">
        <f t="shared" si="61"/>
        <v>255</v>
      </c>
      <c r="O88" s="3">
        <f t="shared" ref="O88:P88" si="62">N88*(1+$E$88)</f>
        <v>255</v>
      </c>
      <c r="P88" s="3">
        <f t="shared" si="62"/>
        <v>255</v>
      </c>
    </row>
  </sheetData>
  <sheetProtection sheet="1" objects="1" scenarios="1"/>
  <pageMargins left="0.7" right="0.7" top="0.75" bottom="0.75" header="0.3" footer="0.3"/>
  <pageSetup scale="6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32"/>
  <sheetViews>
    <sheetView zoomScale="150" zoomScaleNormal="150" workbookViewId="0"/>
  </sheetViews>
  <sheetFormatPr defaultRowHeight="15" x14ac:dyDescent="0.25"/>
  <sheetData>
    <row r="1" spans="1:17" x14ac:dyDescent="0.25">
      <c r="A1" s="7" t="s">
        <v>113</v>
      </c>
      <c r="K1" s="4"/>
    </row>
    <row r="3" spans="1:17" x14ac:dyDescent="0.25">
      <c r="F3" s="13" t="s">
        <v>55</v>
      </c>
      <c r="G3" s="13" t="s">
        <v>56</v>
      </c>
      <c r="H3" s="13" t="s">
        <v>57</v>
      </c>
      <c r="I3" s="13" t="s">
        <v>58</v>
      </c>
      <c r="J3" s="13" t="s">
        <v>59</v>
      </c>
      <c r="K3" s="13" t="s">
        <v>60</v>
      </c>
      <c r="L3" s="13" t="s">
        <v>61</v>
      </c>
      <c r="M3" s="13" t="s">
        <v>62</v>
      </c>
      <c r="N3" s="13" t="s">
        <v>63</v>
      </c>
      <c r="O3" s="13" t="s">
        <v>64</v>
      </c>
      <c r="Q3" s="13" t="s">
        <v>89</v>
      </c>
    </row>
    <row r="5" spans="1:17" x14ac:dyDescent="0.25">
      <c r="B5" t="s">
        <v>0</v>
      </c>
      <c r="F5" s="14">
        <f>('Production Plans'!$F$8+'Production Plans'!$F$10)/100</f>
        <v>0.5</v>
      </c>
      <c r="G5" s="14">
        <f>('Production Plans'!$I$8+'Production Plans'!$I$10)/100</f>
        <v>0.5</v>
      </c>
      <c r="H5" s="14">
        <f>('Production Plans'!$L$8+'Production Plans'!$L$10)/100</f>
        <v>0.5</v>
      </c>
      <c r="I5" s="14">
        <f>('Production Plans'!$O$8+'Production Plans'!$O$10)/100</f>
        <v>0.5</v>
      </c>
      <c r="J5" s="14">
        <f>('Production Plans'!$R$8+'Production Plans'!$R$10)/100</f>
        <v>0.5</v>
      </c>
      <c r="K5" s="14">
        <f>('Production Plans'!$R$8+'Production Plans'!$R$10)/100</f>
        <v>0.5</v>
      </c>
      <c r="L5" s="14">
        <f>('Production Plans'!$R$8+'Production Plans'!$R$10)/100</f>
        <v>0.5</v>
      </c>
      <c r="M5" s="14">
        <f>('Production Plans'!$R$8+'Production Plans'!$R$10)/100</f>
        <v>0.5</v>
      </c>
      <c r="N5" s="14">
        <f>('Production Plans'!$R$8+'Production Plans'!$R$10)/100</f>
        <v>0.5</v>
      </c>
      <c r="O5" s="14">
        <f>('Production Plans'!$R$8+'Production Plans'!$R$10)/100</f>
        <v>0.5</v>
      </c>
      <c r="Q5" s="15">
        <f>AVERAGE(F5:O5)</f>
        <v>0.5</v>
      </c>
    </row>
    <row r="7" spans="1:17" x14ac:dyDescent="0.25">
      <c r="B7" t="s">
        <v>67</v>
      </c>
      <c r="F7" s="14">
        <f>('Production Plans'!$F$9+'Production Plans'!$F$11)/100</f>
        <v>0.5</v>
      </c>
      <c r="G7" s="14">
        <f>('Production Plans'!$I$9+'Production Plans'!$I$11)/100</f>
        <v>0.5</v>
      </c>
      <c r="H7" s="14">
        <f>('Production Plans'!$L$9+'Production Plans'!$L$11)/100</f>
        <v>0.5</v>
      </c>
      <c r="I7" s="14">
        <f>('Production Plans'!$O$9+'Production Plans'!$O$11)/100</f>
        <v>0.5</v>
      </c>
      <c r="J7" s="14">
        <f>('Production Plans'!$R$9+'Production Plans'!$R$11)/100</f>
        <v>0.5</v>
      </c>
      <c r="K7" s="14">
        <f>('Production Plans'!$R$9+'Production Plans'!$R$11)/100</f>
        <v>0.5</v>
      </c>
      <c r="L7" s="14">
        <f>('Production Plans'!$R$9+'Production Plans'!$R$11)/100</f>
        <v>0.5</v>
      </c>
      <c r="M7" s="14">
        <f>('Production Plans'!$R$9+'Production Plans'!$R$11)/100</f>
        <v>0.5</v>
      </c>
      <c r="N7" s="14">
        <f>('Production Plans'!$R$9+'Production Plans'!$R$11)/100</f>
        <v>0.5</v>
      </c>
      <c r="O7" s="14">
        <f>('Production Plans'!$R$9+'Production Plans'!$R$11)/100</f>
        <v>0.5</v>
      </c>
      <c r="Q7" s="15">
        <f>AVERAGE(F7:O7)</f>
        <v>0.5</v>
      </c>
    </row>
    <row r="8" spans="1:17" x14ac:dyDescent="0.25">
      <c r="F8" s="14"/>
      <c r="G8" s="14"/>
      <c r="H8" s="14"/>
      <c r="I8" s="14"/>
      <c r="J8" s="14"/>
      <c r="K8" s="14"/>
      <c r="L8" s="14"/>
      <c r="M8" s="14"/>
      <c r="N8" s="14"/>
      <c r="O8" s="14"/>
      <c r="Q8" s="15"/>
    </row>
    <row r="9" spans="1:17" x14ac:dyDescent="0.25">
      <c r="B9" t="s">
        <v>6</v>
      </c>
      <c r="F9" s="14">
        <f>SUM(F5, F7)</f>
        <v>1</v>
      </c>
      <c r="G9" s="14">
        <f t="shared" ref="G9:O9" si="0">SUM(G5, G7)</f>
        <v>1</v>
      </c>
      <c r="H9" s="14">
        <f t="shared" si="0"/>
        <v>1</v>
      </c>
      <c r="I9" s="14">
        <f t="shared" si="0"/>
        <v>1</v>
      </c>
      <c r="J9" s="14">
        <f t="shared" si="0"/>
        <v>1</v>
      </c>
      <c r="K9" s="14">
        <f t="shared" si="0"/>
        <v>1</v>
      </c>
      <c r="L9" s="14">
        <f t="shared" si="0"/>
        <v>1</v>
      </c>
      <c r="M9" s="14">
        <f t="shared" si="0"/>
        <v>1</v>
      </c>
      <c r="N9" s="14">
        <f t="shared" si="0"/>
        <v>1</v>
      </c>
      <c r="O9" s="14">
        <f t="shared" si="0"/>
        <v>1</v>
      </c>
      <c r="Q9" s="15">
        <f>AVERAGE(F9:O9)</f>
        <v>1</v>
      </c>
    </row>
    <row r="12" spans="1:17" x14ac:dyDescent="0.25">
      <c r="A12" s="7" t="s">
        <v>110</v>
      </c>
    </row>
    <row r="13" spans="1:17" x14ac:dyDescent="0.25"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7" x14ac:dyDescent="0.25">
      <c r="F14" s="13" t="s">
        <v>55</v>
      </c>
      <c r="G14" s="13" t="s">
        <v>56</v>
      </c>
      <c r="H14" s="13" t="s">
        <v>57</v>
      </c>
      <c r="I14" s="13" t="s">
        <v>58</v>
      </c>
      <c r="J14" s="13" t="s">
        <v>59</v>
      </c>
      <c r="K14" s="13" t="s">
        <v>60</v>
      </c>
      <c r="L14" s="13" t="s">
        <v>61</v>
      </c>
      <c r="M14" s="13" t="s">
        <v>62</v>
      </c>
      <c r="N14" s="13" t="s">
        <v>63</v>
      </c>
      <c r="O14" s="13" t="s">
        <v>64</v>
      </c>
      <c r="Q14" s="13" t="s">
        <v>89</v>
      </c>
    </row>
    <row r="16" spans="1:17" x14ac:dyDescent="0.25">
      <c r="B16" t="s">
        <v>0</v>
      </c>
      <c r="F16" s="14">
        <f>('Production Plans'!$F$19+'Production Plans'!$F$21)/100</f>
        <v>0.5</v>
      </c>
      <c r="G16" s="14">
        <f>('Production Plans'!$I$20)/100</f>
        <v>0.25</v>
      </c>
      <c r="H16" s="14">
        <f>('Production Plans'!$L$19)/100</f>
        <v>0.25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Q16" s="15">
        <f>AVERAGE(F16:O16)</f>
        <v>0.1</v>
      </c>
    </row>
    <row r="18" spans="2:17" x14ac:dyDescent="0.25">
      <c r="B18" t="s">
        <v>67</v>
      </c>
      <c r="F18" s="14">
        <f>('Production Plans'!$F$20)/100</f>
        <v>0.25</v>
      </c>
      <c r="G18" s="14">
        <f>('Production Plans'!$I$19)/100</f>
        <v>0.25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Q18" s="15">
        <f>AVERAGE(F18:O18)</f>
        <v>0.05</v>
      </c>
    </row>
    <row r="20" spans="2:17" x14ac:dyDescent="0.25">
      <c r="B20" t="s">
        <v>68</v>
      </c>
      <c r="F20" s="14">
        <f>('Production Plans'!$F$22)/100</f>
        <v>0.25</v>
      </c>
      <c r="G20" s="14">
        <f>('Production Plans'!$I$21)/100</f>
        <v>0.25</v>
      </c>
      <c r="H20" s="14">
        <f>('Production Plans'!$L$20)/100</f>
        <v>0.25</v>
      </c>
      <c r="I20" s="14">
        <f>('Production Plans'!$O$19)/100</f>
        <v>0.25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Q20" s="15">
        <f>AVERAGE(F20:O20)</f>
        <v>0.1</v>
      </c>
    </row>
    <row r="22" spans="2:17" x14ac:dyDescent="0.25">
      <c r="B22" t="s">
        <v>69</v>
      </c>
      <c r="F22" s="14">
        <v>0</v>
      </c>
      <c r="G22" s="14">
        <f>('Production Plans'!$I$22)/100</f>
        <v>0.25</v>
      </c>
      <c r="H22" s="14">
        <f>('Production Plans'!$L$21)/100</f>
        <v>0.25</v>
      </c>
      <c r="I22" s="14">
        <f>('Production Plans'!$O$20)/100</f>
        <v>0.25</v>
      </c>
      <c r="J22" s="14">
        <f>('Production Plans'!$R$19)/100</f>
        <v>0.25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Q22" s="15">
        <f>AVERAGE(F22:O22)</f>
        <v>0.1</v>
      </c>
    </row>
    <row r="24" spans="2:17" x14ac:dyDescent="0.25">
      <c r="B24" t="s">
        <v>75</v>
      </c>
      <c r="F24" s="14">
        <v>0</v>
      </c>
      <c r="G24" s="14">
        <v>0</v>
      </c>
      <c r="H24" s="14">
        <v>0</v>
      </c>
      <c r="I24" s="14">
        <f>('Production Plans'!$O$22)/100</f>
        <v>0.25</v>
      </c>
      <c r="J24" s="14">
        <f>('Production Plans'!$R$21)/100</f>
        <v>0.25</v>
      </c>
      <c r="K24" s="14">
        <f>('Production Plans'!$U$20)/100</f>
        <v>0.25</v>
      </c>
      <c r="L24" s="14">
        <f>('Production Plans'!$X$19)/100</f>
        <v>0.25</v>
      </c>
      <c r="M24" s="14">
        <v>0</v>
      </c>
      <c r="N24" s="14">
        <f>('Production Plans'!$AD$22)/100</f>
        <v>0.25</v>
      </c>
      <c r="O24" s="14">
        <f>('Production Plans'!$AG$21)/100</f>
        <v>0.25</v>
      </c>
      <c r="Q24" s="15">
        <f>AVERAGE(F24:O24)</f>
        <v>0.15</v>
      </c>
    </row>
    <row r="26" spans="2:17" x14ac:dyDescent="0.25">
      <c r="B26" t="s">
        <v>76</v>
      </c>
      <c r="F26" s="14">
        <v>0</v>
      </c>
      <c r="G26" s="14">
        <v>0</v>
      </c>
      <c r="H26" s="14">
        <v>0</v>
      </c>
      <c r="I26" s="14">
        <v>0</v>
      </c>
      <c r="J26" s="14">
        <f>('Production Plans'!$R$22)/100</f>
        <v>0.25</v>
      </c>
      <c r="K26" s="14">
        <f>('Production Plans'!$U$21)/100</f>
        <v>0.25</v>
      </c>
      <c r="L26" s="14">
        <f>('Production Plans'!$X$20)/100</f>
        <v>0.25</v>
      </c>
      <c r="M26" s="14">
        <f>('Production Plans'!$AA$19)/100</f>
        <v>0.25</v>
      </c>
      <c r="N26" s="14">
        <v>0</v>
      </c>
      <c r="O26" s="14">
        <f>('Production Plans'!$AG$22)/100</f>
        <v>0.25</v>
      </c>
      <c r="Q26" s="15">
        <f>AVERAGE(F26:O26)</f>
        <v>0.125</v>
      </c>
    </row>
    <row r="28" spans="2:17" x14ac:dyDescent="0.25">
      <c r="B28" t="s">
        <v>77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f>('Production Plans'!$U$22)/100</f>
        <v>0.25</v>
      </c>
      <c r="L28" s="14">
        <f>('Production Plans'!$X$21)/100</f>
        <v>0.25</v>
      </c>
      <c r="M28" s="14">
        <f>('Production Plans'!$AA$20)/100</f>
        <v>0.25</v>
      </c>
      <c r="N28" s="14">
        <f>('Production Plans'!$AD$19)/100</f>
        <v>0.25</v>
      </c>
      <c r="O28" s="14">
        <v>0</v>
      </c>
      <c r="Q28" s="15">
        <f>AVERAGE(F28:O28)</f>
        <v>0.1</v>
      </c>
    </row>
    <row r="30" spans="2:17" x14ac:dyDescent="0.25">
      <c r="B30" t="s">
        <v>78</v>
      </c>
      <c r="F30" s="14">
        <v>0</v>
      </c>
      <c r="G30" s="14">
        <v>0</v>
      </c>
      <c r="H30" s="14">
        <f>('Production Plans'!$L$22)/100</f>
        <v>0.25</v>
      </c>
      <c r="I30" s="14">
        <f>('Production Plans'!$O$21)/100</f>
        <v>0.25</v>
      </c>
      <c r="J30" s="14">
        <f>('Production Plans'!$R$20)/100</f>
        <v>0.25</v>
      </c>
      <c r="K30" s="14">
        <f>('Production Plans'!$U$19)/100</f>
        <v>0.25</v>
      </c>
      <c r="L30" s="14">
        <f>('Production Plans'!$X$22)/100</f>
        <v>0.25</v>
      </c>
      <c r="M30" s="14">
        <f>('Production Plans'!$AA$21+'Production Plans'!$AA$22)/100</f>
        <v>0.5</v>
      </c>
      <c r="N30" s="14">
        <f>('Production Plans'!$AD$20+'Production Plans'!$AD$21)/100</f>
        <v>0.5</v>
      </c>
      <c r="O30" s="14">
        <f>('Production Plans'!$AG$19+'Production Plans'!$AG$20)/100</f>
        <v>0.5</v>
      </c>
      <c r="Q30" s="15">
        <f>AVERAGE(F30:O30)</f>
        <v>0.27500000000000002</v>
      </c>
    </row>
    <row r="32" spans="2:17" x14ac:dyDescent="0.25">
      <c r="B32" t="s">
        <v>6</v>
      </c>
      <c r="F32" s="15">
        <f>SUM(F16, F18, F20, F22, F24, F26, F28, F30)</f>
        <v>1</v>
      </c>
      <c r="G32" s="15">
        <f t="shared" ref="G32:J32" si="1">SUM(G16, G18, G20, G22, G24, G26, G28, G30)</f>
        <v>1</v>
      </c>
      <c r="H32" s="15">
        <f t="shared" si="1"/>
        <v>1</v>
      </c>
      <c r="I32" s="15">
        <f t="shared" si="1"/>
        <v>1</v>
      </c>
      <c r="J32" s="15">
        <f t="shared" si="1"/>
        <v>1</v>
      </c>
      <c r="K32" s="15">
        <f t="shared" ref="K32:O32" si="2">SUM(K16, K18, K24, K26, K28, K30)</f>
        <v>1</v>
      </c>
      <c r="L32" s="15">
        <f t="shared" si="2"/>
        <v>1</v>
      </c>
      <c r="M32" s="15">
        <f t="shared" si="2"/>
        <v>1</v>
      </c>
      <c r="N32" s="15">
        <f t="shared" si="2"/>
        <v>1</v>
      </c>
      <c r="O32" s="15">
        <f t="shared" si="2"/>
        <v>1</v>
      </c>
      <c r="Q32" s="15">
        <f>AVERAGE(F32:O32)</f>
        <v>1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H27"/>
  <sheetViews>
    <sheetView zoomScale="150" zoomScaleNormal="150" workbookViewId="0"/>
  </sheetViews>
  <sheetFormatPr defaultRowHeight="15" x14ac:dyDescent="0.25"/>
  <sheetData>
    <row r="1" spans="1:8" x14ac:dyDescent="0.25">
      <c r="F1" s="13" t="s">
        <v>11</v>
      </c>
      <c r="G1" s="13" t="s">
        <v>12</v>
      </c>
      <c r="H1" s="13" t="s">
        <v>6</v>
      </c>
    </row>
    <row r="2" spans="1:8" x14ac:dyDescent="0.25">
      <c r="A2" s="1" t="s">
        <v>179</v>
      </c>
      <c r="F2" s="13" t="s">
        <v>180</v>
      </c>
      <c r="G2" s="13" t="s">
        <v>180</v>
      </c>
      <c r="H2" s="13" t="s">
        <v>180</v>
      </c>
    </row>
    <row r="4" spans="1:8" x14ac:dyDescent="0.25">
      <c r="A4" t="s">
        <v>181</v>
      </c>
      <c r="F4" s="3">
        <v>2.7126535626535624</v>
      </c>
      <c r="G4" s="3">
        <v>11.324373464373464</v>
      </c>
      <c r="H4" s="3">
        <v>14.037027027027026</v>
      </c>
    </row>
    <row r="5" spans="1:8" x14ac:dyDescent="0.25">
      <c r="A5" t="s">
        <v>182</v>
      </c>
      <c r="F5" s="3">
        <v>5.1059831151352029</v>
      </c>
      <c r="G5" s="3">
        <v>17.803107793955711</v>
      </c>
      <c r="H5" s="3">
        <v>22.909090909090914</v>
      </c>
    </row>
    <row r="6" spans="1:8" x14ac:dyDescent="0.25">
      <c r="A6" t="s">
        <v>183</v>
      </c>
      <c r="F6" s="3">
        <v>9.3076540755467185</v>
      </c>
      <c r="G6" s="3">
        <v>33.080318091451289</v>
      </c>
      <c r="H6" s="3">
        <v>42.387972166998011</v>
      </c>
    </row>
    <row r="7" spans="1:8" x14ac:dyDescent="0.25">
      <c r="A7" t="s">
        <v>184</v>
      </c>
      <c r="F7" s="3">
        <v>12.08233467867122</v>
      </c>
      <c r="G7" s="3">
        <v>27.653042533374727</v>
      </c>
      <c r="H7" s="3">
        <v>39.735377212045947</v>
      </c>
    </row>
    <row r="8" spans="1:8" x14ac:dyDescent="0.25">
      <c r="A8" t="s">
        <v>185</v>
      </c>
      <c r="F8" s="3">
        <v>11.581910475311489</v>
      </c>
      <c r="G8" s="3">
        <v>28.976465159206274</v>
      </c>
      <c r="H8" s="3">
        <v>40.558375634517759</v>
      </c>
    </row>
    <row r="9" spans="1:8" x14ac:dyDescent="0.25">
      <c r="A9" t="s">
        <v>186</v>
      </c>
      <c r="F9" s="3">
        <v>5.7034404536862002</v>
      </c>
      <c r="G9" s="3">
        <v>13.376710775047261</v>
      </c>
      <c r="H9" s="3">
        <v>19.080151228733463</v>
      </c>
    </row>
    <row r="10" spans="1:8" x14ac:dyDescent="0.25">
      <c r="A10" t="s">
        <v>187</v>
      </c>
      <c r="F10" s="3">
        <v>4.606881275841701</v>
      </c>
      <c r="G10" s="3">
        <v>12.108860011813347</v>
      </c>
      <c r="H10" s="3">
        <v>16.71574128765505</v>
      </c>
    </row>
    <row r="11" spans="1:8" x14ac:dyDescent="0.25">
      <c r="A11" t="s">
        <v>32</v>
      </c>
      <c r="F11" s="3">
        <v>4.1497716894977161</v>
      </c>
      <c r="G11" s="3">
        <v>13.121461187214612</v>
      </c>
      <c r="H11" s="3">
        <v>17.271232876712329</v>
      </c>
    </row>
    <row r="12" spans="1:8" x14ac:dyDescent="0.25">
      <c r="A12" t="s">
        <v>188</v>
      </c>
      <c r="F12" s="3">
        <v>1.36275720164609</v>
      </c>
      <c r="G12" s="3">
        <v>6.8594650205761312</v>
      </c>
      <c r="H12" s="3">
        <v>8.2222222222222214</v>
      </c>
    </row>
    <row r="13" spans="1:8" x14ac:dyDescent="0.25">
      <c r="A13" t="s">
        <v>156</v>
      </c>
      <c r="F13" s="3">
        <v>1.8020202020202021</v>
      </c>
      <c r="G13" s="3">
        <v>9.737373737373737</v>
      </c>
      <c r="H13" s="3">
        <v>11.539393939393939</v>
      </c>
    </row>
    <row r="14" spans="1:8" x14ac:dyDescent="0.25">
      <c r="A14" t="s">
        <v>189</v>
      </c>
      <c r="F14" s="3">
        <v>2.9885301614273572</v>
      </c>
      <c r="G14" s="3">
        <v>14.370560747663554</v>
      </c>
      <c r="H14" s="3">
        <v>17.359090909090909</v>
      </c>
    </row>
    <row r="15" spans="1:8" x14ac:dyDescent="0.25">
      <c r="A15" t="s">
        <v>190</v>
      </c>
      <c r="F15" s="3">
        <v>1.0473002159827212</v>
      </c>
      <c r="G15" s="3">
        <v>2.9622030237580996</v>
      </c>
      <c r="H15" s="3">
        <v>4.0095032397408206</v>
      </c>
    </row>
    <row r="16" spans="1:8" x14ac:dyDescent="0.25">
      <c r="A16" t="s">
        <v>191</v>
      </c>
      <c r="F16" s="3">
        <v>4.174316153181687</v>
      </c>
      <c r="G16" s="3">
        <v>10.16680103656781</v>
      </c>
      <c r="H16" s="3">
        <v>14.341117189749497</v>
      </c>
    </row>
    <row r="17" spans="1:8" x14ac:dyDescent="0.25">
      <c r="A17" t="s">
        <v>192</v>
      </c>
      <c r="F17" s="3">
        <v>9.8061349693251554</v>
      </c>
      <c r="G17" s="3">
        <v>16.198282208588957</v>
      </c>
      <c r="H17" s="3">
        <v>26.004417177914114</v>
      </c>
    </row>
    <row r="18" spans="1:8" x14ac:dyDescent="0.25">
      <c r="A18" t="s">
        <v>193</v>
      </c>
      <c r="F18" s="3">
        <v>2.0544360902255647</v>
      </c>
      <c r="G18" s="3">
        <v>5.8357894736842111</v>
      </c>
      <c r="H18" s="3">
        <v>7.8902255639097758</v>
      </c>
    </row>
    <row r="19" spans="1:8" x14ac:dyDescent="0.25">
      <c r="A19" t="s">
        <v>194</v>
      </c>
      <c r="F19" s="3">
        <v>0.96366005005535404</v>
      </c>
      <c r="G19" s="3">
        <v>9.3829970104633791</v>
      </c>
      <c r="H19" s="3">
        <v>10.346657060518734</v>
      </c>
    </row>
    <row r="20" spans="1:8" x14ac:dyDescent="0.25">
      <c r="A20" t="s">
        <v>195</v>
      </c>
      <c r="F20" s="3">
        <v>2.4896860986547087</v>
      </c>
      <c r="G20" s="3">
        <v>12.668871449925264</v>
      </c>
      <c r="H20" s="3">
        <v>15.158557548579973</v>
      </c>
    </row>
    <row r="21" spans="1:8" x14ac:dyDescent="0.25">
      <c r="A21" t="s">
        <v>196</v>
      </c>
      <c r="F21" s="3">
        <v>1.7656286721504115</v>
      </c>
      <c r="G21" s="3">
        <v>6.6849588719153932</v>
      </c>
      <c r="H21" s="3">
        <v>8.4505875440658045</v>
      </c>
    </row>
    <row r="22" spans="1:8" x14ac:dyDescent="0.25">
      <c r="A22" t="s">
        <v>197</v>
      </c>
      <c r="F22" s="3">
        <v>2.0835451977401132</v>
      </c>
      <c r="G22" s="3">
        <v>4.7541666666666664</v>
      </c>
      <c r="H22" s="3">
        <v>6.8377118644067796</v>
      </c>
    </row>
    <row r="23" spans="1:8" x14ac:dyDescent="0.25">
      <c r="A23" t="s">
        <v>198</v>
      </c>
      <c r="F23" s="3">
        <v>0.98576687116564443</v>
      </c>
      <c r="G23" s="3">
        <v>4.1999999999999993</v>
      </c>
      <c r="H23" s="3">
        <v>5.1857668711656437</v>
      </c>
    </row>
    <row r="24" spans="1:8" x14ac:dyDescent="0.25">
      <c r="A24" t="s">
        <v>199</v>
      </c>
      <c r="F24" s="3">
        <v>2.484953987730063</v>
      </c>
      <c r="G24" s="3">
        <v>10.587499999999999</v>
      </c>
      <c r="H24" s="3">
        <v>13.072453987730061</v>
      </c>
    </row>
    <row r="25" spans="1:8" x14ac:dyDescent="0.25">
      <c r="A25" t="s">
        <v>130</v>
      </c>
      <c r="F25" s="3">
        <v>1.5881316098707403</v>
      </c>
      <c r="G25" s="3">
        <v>6.012925969447708</v>
      </c>
      <c r="H25" s="3">
        <v>7.6010575793184483</v>
      </c>
    </row>
    <row r="26" spans="1:8" x14ac:dyDescent="0.25">
      <c r="A26" t="s">
        <v>200</v>
      </c>
      <c r="F26" s="3">
        <v>1.5725995316159254</v>
      </c>
      <c r="G26" s="3">
        <v>6.0316159250585484</v>
      </c>
      <c r="H26" s="3">
        <v>7.6042154566744742</v>
      </c>
    </row>
    <row r="27" spans="1:8" x14ac:dyDescent="0.25">
      <c r="A27" t="s">
        <v>201</v>
      </c>
      <c r="F27" s="3">
        <v>3.8595460614152195</v>
      </c>
      <c r="G27" s="3">
        <v>14.156074766355141</v>
      </c>
      <c r="H27" s="3">
        <v>18.015620827770363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5"/>
  <sheetViews>
    <sheetView zoomScale="150" zoomScaleNormal="150" workbookViewId="0"/>
  </sheetViews>
  <sheetFormatPr defaultRowHeight="15" x14ac:dyDescent="0.25"/>
  <cols>
    <col min="5" max="5" width="5.7109375" customWidth="1"/>
    <col min="6" max="14" width="10.7109375" customWidth="1"/>
  </cols>
  <sheetData>
    <row r="1" spans="1:14" x14ac:dyDescent="0.25">
      <c r="A1" s="1" t="s">
        <v>109</v>
      </c>
    </row>
    <row r="3" spans="1:14" x14ac:dyDescent="0.25">
      <c r="B3" s="11" t="s">
        <v>91</v>
      </c>
    </row>
    <row r="5" spans="1:14" x14ac:dyDescent="0.25">
      <c r="F5" s="12" t="s">
        <v>102</v>
      </c>
      <c r="G5" s="12" t="s">
        <v>103</v>
      </c>
      <c r="H5" s="12" t="s">
        <v>104</v>
      </c>
    </row>
    <row r="7" spans="1:14" x14ac:dyDescent="0.25">
      <c r="B7" t="s">
        <v>83</v>
      </c>
      <c r="F7" s="3">
        <f>'Annual Returns'!$Q$7</f>
        <v>923.92000000000007</v>
      </c>
      <c r="G7" s="3">
        <f>'Annual Returns'!$Q$17</f>
        <v>686.08999999999992</v>
      </c>
      <c r="H7" s="3">
        <f>'Annual Returns'!$Q$27</f>
        <v>805.00500000000011</v>
      </c>
    </row>
    <row r="8" spans="1:14" x14ac:dyDescent="0.25">
      <c r="B8" t="s">
        <v>85</v>
      </c>
      <c r="F8" s="3">
        <f>'Annual Returns'!$Q$8</f>
        <v>621.58519349999995</v>
      </c>
      <c r="G8" s="3">
        <f>'Annual Returns'!$Q$18</f>
        <v>327.20808149999999</v>
      </c>
      <c r="H8" s="3">
        <f>'Annual Returns'!$Q$28</f>
        <v>474.3966375</v>
      </c>
    </row>
    <row r="9" spans="1:14" x14ac:dyDescent="0.25">
      <c r="B9" t="s">
        <v>49</v>
      </c>
      <c r="F9" s="3">
        <f>'Annual Returns'!$Q$9</f>
        <v>302.33480650000013</v>
      </c>
      <c r="G9" s="3">
        <f>'Annual Returns'!$Q$19</f>
        <v>358.8819185000001</v>
      </c>
      <c r="H9" s="3">
        <f>'Annual Returns'!$Q$29</f>
        <v>330.6083625</v>
      </c>
    </row>
    <row r="10" spans="1:14" x14ac:dyDescent="0.25">
      <c r="B10" t="s">
        <v>86</v>
      </c>
      <c r="F10" s="3">
        <f>'Annual Returns'!$Q$10</f>
        <v>403.48999999999995</v>
      </c>
      <c r="G10" s="3">
        <f>'Annual Returns'!$Q$20</f>
        <v>379.90000000000003</v>
      </c>
      <c r="H10" s="3">
        <f>'Annual Returns'!$Q$30</f>
        <v>391.69500000000005</v>
      </c>
    </row>
    <row r="11" spans="1:14" x14ac:dyDescent="0.25">
      <c r="B11" t="s">
        <v>50</v>
      </c>
      <c r="F11" s="3">
        <f>'Annual Returns'!$Q$11</f>
        <v>-101.15519349999991</v>
      </c>
      <c r="G11" s="3">
        <f>'Annual Returns'!$Q$21</f>
        <v>-21.018081499999926</v>
      </c>
      <c r="H11" s="3">
        <f>'Annual Returns'!$Q$31</f>
        <v>-61.086637499999917</v>
      </c>
    </row>
    <row r="12" spans="1:14" x14ac:dyDescent="0.25">
      <c r="F12" s="3"/>
      <c r="G12" s="3"/>
      <c r="H12" s="3"/>
    </row>
    <row r="13" spans="1:14" x14ac:dyDescent="0.25">
      <c r="B13" t="s">
        <v>114</v>
      </c>
      <c r="F13" s="14">
        <f>'Acreage Proportions'!$Q$5</f>
        <v>0.5</v>
      </c>
      <c r="G13" s="14">
        <f>'Acreage Proportions'!$Q$7</f>
        <v>0.5</v>
      </c>
      <c r="H13" s="14">
        <f>SUM(F13:G13)</f>
        <v>1</v>
      </c>
    </row>
    <row r="15" spans="1:14" x14ac:dyDescent="0.25">
      <c r="B15" s="11" t="s">
        <v>175</v>
      </c>
    </row>
    <row r="16" spans="1:14" x14ac:dyDescent="0.25">
      <c r="H16" s="4"/>
      <c r="I16" s="4"/>
      <c r="K16" s="4"/>
      <c r="L16" s="4"/>
      <c r="M16" s="4"/>
      <c r="N16" s="4"/>
    </row>
    <row r="17" spans="2:14" x14ac:dyDescent="0.25">
      <c r="F17" s="12" t="s">
        <v>102</v>
      </c>
      <c r="G17" s="12" t="s">
        <v>103</v>
      </c>
      <c r="H17" s="12" t="s">
        <v>127</v>
      </c>
      <c r="I17" s="12" t="s">
        <v>126</v>
      </c>
      <c r="J17" s="12" t="s">
        <v>105</v>
      </c>
      <c r="K17" s="12" t="s">
        <v>106</v>
      </c>
      <c r="L17" s="12" t="s">
        <v>107</v>
      </c>
      <c r="M17" s="12" t="s">
        <v>108</v>
      </c>
      <c r="N17" s="12" t="s">
        <v>104</v>
      </c>
    </row>
    <row r="19" spans="2:14" x14ac:dyDescent="0.25">
      <c r="B19" t="s">
        <v>94</v>
      </c>
      <c r="F19" s="3">
        <f>'Annual Returns'!$Q$7</f>
        <v>923.92000000000007</v>
      </c>
      <c r="G19" s="3">
        <f>'Annual Returns'!$Q$17</f>
        <v>686.08999999999992</v>
      </c>
      <c r="H19" s="3">
        <f>'Annual Returns'!$Q$37</f>
        <v>392.23374999999999</v>
      </c>
      <c r="I19" s="3">
        <f>'Annual Returns'!$Q$47</f>
        <v>792</v>
      </c>
      <c r="J19" s="3">
        <f>'Annual Returns'!$Q$57</f>
        <v>1266.2249999999999</v>
      </c>
      <c r="K19" s="3">
        <f>'Annual Returns'!$Q$67</f>
        <v>1128.3712500000001</v>
      </c>
      <c r="L19" s="3">
        <f>'Annual Returns'!$Q$77</f>
        <v>548.89874999999995</v>
      </c>
      <c r="M19" s="3">
        <f>'Annual Returns'!$Q$87</f>
        <v>891</v>
      </c>
      <c r="N19" s="3">
        <f>'Annual Returns'!$Q$97</f>
        <v>881.48118749999992</v>
      </c>
    </row>
    <row r="20" spans="2:14" x14ac:dyDescent="0.25">
      <c r="B20" t="s">
        <v>85</v>
      </c>
      <c r="F20" s="3">
        <f>'Annual Returns'!$Q$8</f>
        <v>621.58519349999995</v>
      </c>
      <c r="G20" s="3">
        <f>'Annual Returns'!$Q$18</f>
        <v>327.20808149999999</v>
      </c>
      <c r="H20" s="3">
        <f>'Annual Returns'!$Q$38</f>
        <v>173.10249999999999</v>
      </c>
      <c r="I20" s="3">
        <f>'Annual Returns'!$Q$48</f>
        <v>137.06500000000003</v>
      </c>
      <c r="J20" s="3">
        <f>'Annual Returns'!$Q$58</f>
        <v>559.42064500000004</v>
      </c>
      <c r="K20" s="3">
        <f>'Annual Returns'!$Q$68</f>
        <v>304.705645</v>
      </c>
      <c r="L20" s="3">
        <f>'Annual Returns'!$Q$78</f>
        <v>173.10249999999999</v>
      </c>
      <c r="M20" s="3">
        <f>'Annual Returns'!$Q$88</f>
        <v>137.06500000000003</v>
      </c>
      <c r="N20" s="3">
        <f>'Annual Returns'!$Q$98</f>
        <v>286.5401008</v>
      </c>
    </row>
    <row r="21" spans="2:14" x14ac:dyDescent="0.25">
      <c r="B21" t="s">
        <v>49</v>
      </c>
      <c r="F21" s="3">
        <f>'Annual Returns'!$Q$9</f>
        <v>302.33480650000013</v>
      </c>
      <c r="G21" s="3">
        <f>'Annual Returns'!$Q$19</f>
        <v>358.8819185000001</v>
      </c>
      <c r="H21" s="3">
        <f>'Annual Returns'!$Q$39</f>
        <v>219.13124999999999</v>
      </c>
      <c r="I21" s="3">
        <f>'Annual Returns'!$Q$49</f>
        <v>654.93499999999972</v>
      </c>
      <c r="J21" s="3">
        <f>'Annual Returns'!$Q$59</f>
        <v>706.80435499999999</v>
      </c>
      <c r="K21" s="3">
        <f>'Annual Returns'!$Q$69</f>
        <v>823.66560500000014</v>
      </c>
      <c r="L21" s="3">
        <f>'Annual Returns'!$Q$79</f>
        <v>375.79625000000004</v>
      </c>
      <c r="M21" s="3">
        <f>'Annual Returns'!$Q$89</f>
        <v>753.93499999999972</v>
      </c>
      <c r="N21" s="3">
        <f>'Annual Returns'!$Q$99</f>
        <v>594.9410866999998</v>
      </c>
    </row>
    <row r="22" spans="2:14" x14ac:dyDescent="0.25">
      <c r="B22" t="s">
        <v>86</v>
      </c>
      <c r="F22" s="3">
        <f>'Annual Returns'!$Q$10</f>
        <v>403.48999999999995</v>
      </c>
      <c r="G22" s="3">
        <f>'Annual Returns'!$Q$20</f>
        <v>379.90000000000003</v>
      </c>
      <c r="H22" s="3">
        <f>'Annual Returns'!$Q$40</f>
        <v>427.97000000000014</v>
      </c>
      <c r="I22" s="3">
        <f>'Annual Returns'!$Q$50</f>
        <v>510.65</v>
      </c>
      <c r="J22" s="3">
        <f>'Annual Returns'!$Q$60</f>
        <v>506.7399999999999</v>
      </c>
      <c r="K22" s="3">
        <f>'Annual Returns'!$Q$70</f>
        <v>450.53999999999996</v>
      </c>
      <c r="L22" s="3">
        <f>'Annual Returns'!$Q$80</f>
        <v>427.97000000000014</v>
      </c>
      <c r="M22" s="3">
        <f>'Annual Returns'!$Q$90</f>
        <v>510.65</v>
      </c>
      <c r="N22" s="3">
        <f>'Annual Returns'!$Q$100</f>
        <v>468.76024999999993</v>
      </c>
    </row>
    <row r="23" spans="2:14" x14ac:dyDescent="0.25">
      <c r="B23" t="s">
        <v>50</v>
      </c>
      <c r="F23" s="3">
        <f>'Annual Returns'!$Q$11</f>
        <v>-101.15519349999991</v>
      </c>
      <c r="G23" s="3">
        <f>'Annual Returns'!$Q$21</f>
        <v>-21.018081499999926</v>
      </c>
      <c r="H23" s="3">
        <f>'Annual Returns'!$Q$41</f>
        <v>-208.83875000000003</v>
      </c>
      <c r="I23" s="3">
        <f>'Annual Returns'!$Q$51</f>
        <v>144.28499999999971</v>
      </c>
      <c r="J23" s="3">
        <f>'Annual Returns'!$Q$61</f>
        <v>200.06435500000003</v>
      </c>
      <c r="K23" s="3">
        <f>'Annual Returns'!$Q$71</f>
        <v>373.12560500000006</v>
      </c>
      <c r="L23" s="3">
        <f>'Annual Returns'!$Q$81</f>
        <v>-52.173749999999984</v>
      </c>
      <c r="M23" s="3">
        <f>'Annual Returns'!$Q$91</f>
        <v>243.28499999999971</v>
      </c>
      <c r="N23" s="3">
        <f>'Annual Returns'!$Q$101</f>
        <v>126.18083669999992</v>
      </c>
    </row>
    <row r="25" spans="2:14" x14ac:dyDescent="0.25">
      <c r="B25" t="s">
        <v>114</v>
      </c>
      <c r="F25" s="14">
        <f>'Acreage Proportions'!$Q$16</f>
        <v>0.1</v>
      </c>
      <c r="G25" s="14">
        <f>'Acreage Proportions'!$Q$18</f>
        <v>0.05</v>
      </c>
      <c r="H25" s="14">
        <f>'Acreage Proportions'!$Q$20</f>
        <v>0.1</v>
      </c>
      <c r="I25" s="14">
        <f>'Acreage Proportions'!$Q$22</f>
        <v>0.1</v>
      </c>
      <c r="J25" s="14">
        <f>'Acreage Proportions'!$Q$24</f>
        <v>0.15</v>
      </c>
      <c r="K25" s="14">
        <f>'Acreage Proportions'!$Q$26</f>
        <v>0.125</v>
      </c>
      <c r="L25" s="14">
        <f>'Acreage Proportions'!$Q$28</f>
        <v>0.1</v>
      </c>
      <c r="M25" s="14">
        <f>'Acreage Proportions'!$Q$30</f>
        <v>0.27500000000000002</v>
      </c>
      <c r="N25" s="15">
        <f>SUM(F25:M25)</f>
        <v>1</v>
      </c>
    </row>
  </sheetData>
  <sheetProtection sheet="1" objects="1" scenarios="1"/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03"/>
  <sheetViews>
    <sheetView zoomScale="150" zoomScaleNormal="150" workbookViewId="0">
      <pane xSplit="5" ySplit="6" topLeftCell="F7" activePane="bottomRight" state="frozen"/>
      <selection pane="topRight" activeCell="F1" sqref="F1"/>
      <selection pane="bottomLeft" activeCell="A7" sqref="A7"/>
      <selection pane="bottomRight"/>
    </sheetView>
  </sheetViews>
  <sheetFormatPr defaultRowHeight="15" x14ac:dyDescent="0.25"/>
  <sheetData>
    <row r="1" spans="1:18" x14ac:dyDescent="0.25">
      <c r="A1" s="1" t="s">
        <v>87</v>
      </c>
    </row>
    <row r="3" spans="1:18" x14ac:dyDescent="0.25">
      <c r="F3" s="4" t="s">
        <v>55</v>
      </c>
      <c r="G3" s="4" t="s">
        <v>56</v>
      </c>
      <c r="H3" s="4" t="s">
        <v>57</v>
      </c>
      <c r="I3" s="4" t="s">
        <v>58</v>
      </c>
      <c r="J3" s="4" t="s">
        <v>59</v>
      </c>
      <c r="K3" s="4" t="s">
        <v>60</v>
      </c>
      <c r="L3" s="4" t="s">
        <v>61</v>
      </c>
      <c r="M3" s="4" t="s">
        <v>62</v>
      </c>
      <c r="N3" s="4" t="s">
        <v>63</v>
      </c>
      <c r="O3" s="4" t="s">
        <v>64</v>
      </c>
      <c r="Q3" s="4" t="s">
        <v>89</v>
      </c>
      <c r="R3" s="4" t="s">
        <v>90</v>
      </c>
    </row>
    <row r="5" spans="1:18" x14ac:dyDescent="0.25">
      <c r="B5" t="s">
        <v>84</v>
      </c>
    </row>
    <row r="7" spans="1:18" x14ac:dyDescent="0.25">
      <c r="C7" t="s">
        <v>83</v>
      </c>
      <c r="F7" s="3">
        <f>('Long-Run Projections'!G7*'Long-Run Projections'!G23)+('Long-Run Projections'!G39)</f>
        <v>935.8</v>
      </c>
      <c r="G7" s="3">
        <f>('Long-Run Projections'!H7*'Long-Run Projections'!H23)+('Long-Run Projections'!H39)</f>
        <v>889</v>
      </c>
      <c r="H7" s="3">
        <f>('Long-Run Projections'!I7*'Long-Run Projections'!I23)+('Long-Run Projections'!I39)</f>
        <v>897.40000000000009</v>
      </c>
      <c r="I7" s="3">
        <f>('Long-Run Projections'!J7*'Long-Run Projections'!J23)+('Long-Run Projections'!J39)</f>
        <v>905.80000000000007</v>
      </c>
      <c r="J7" s="3">
        <f>('Long-Run Projections'!K7*'Long-Run Projections'!K23)+('Long-Run Projections'!K39)</f>
        <v>914.2</v>
      </c>
      <c r="K7" s="3">
        <f>('Long-Run Projections'!L7*'Long-Run Projections'!L23)+('Long-Run Projections'!L39)</f>
        <v>922.6</v>
      </c>
      <c r="L7" s="3">
        <f>('Long-Run Projections'!M7*'Long-Run Projections'!M23)+('Long-Run Projections'!M39)</f>
        <v>931</v>
      </c>
      <c r="M7" s="3">
        <f>('Long-Run Projections'!N7*'Long-Run Projections'!N23)+('Long-Run Projections'!N39)</f>
        <v>939.40000000000009</v>
      </c>
      <c r="N7" s="3">
        <f>('Long-Run Projections'!O7*'Long-Run Projections'!O23)+('Long-Run Projections'!O39)</f>
        <v>947.80000000000007</v>
      </c>
      <c r="O7" s="3">
        <f>('Long-Run Projections'!P7*'Long-Run Projections'!P23)+('Long-Run Projections'!P39)</f>
        <v>956.2</v>
      </c>
      <c r="Q7" s="3">
        <f>AVERAGE(F7:O7)</f>
        <v>923.92000000000007</v>
      </c>
      <c r="R7" s="3">
        <f>STDEV(F7:O7)</f>
        <v>22.086738102309265</v>
      </c>
    </row>
    <row r="8" spans="1:18" x14ac:dyDescent="0.25">
      <c r="C8" t="s">
        <v>85</v>
      </c>
      <c r="F8" s="3">
        <f>'Long-Run Projections'!G53</f>
        <v>621.58519349999995</v>
      </c>
      <c r="G8" s="3">
        <f>'Long-Run Projections'!H53</f>
        <v>621.58519349999995</v>
      </c>
      <c r="H8" s="3">
        <f>'Long-Run Projections'!I53</f>
        <v>621.58519349999995</v>
      </c>
      <c r="I8" s="3">
        <f>'Long-Run Projections'!J53</f>
        <v>621.58519349999995</v>
      </c>
      <c r="J8" s="3">
        <f>'Long-Run Projections'!K53</f>
        <v>621.58519349999995</v>
      </c>
      <c r="K8" s="3">
        <f>'Long-Run Projections'!L53</f>
        <v>621.58519349999995</v>
      </c>
      <c r="L8" s="3">
        <f>'Long-Run Projections'!M53</f>
        <v>621.58519349999995</v>
      </c>
      <c r="M8" s="3">
        <f>'Long-Run Projections'!N53</f>
        <v>621.58519349999995</v>
      </c>
      <c r="N8" s="3">
        <f>'Long-Run Projections'!O53</f>
        <v>621.58519349999995</v>
      </c>
      <c r="O8" s="3">
        <f>'Long-Run Projections'!P53</f>
        <v>621.58519349999995</v>
      </c>
      <c r="Q8" s="3">
        <f t="shared" ref="Q8:Q11" si="0">AVERAGE(F8:O8)</f>
        <v>621.58519349999995</v>
      </c>
      <c r="R8" s="3">
        <f t="shared" ref="R8:R11" si="1">STDEV(F8:O8)</f>
        <v>0</v>
      </c>
    </row>
    <row r="9" spans="1:18" x14ac:dyDescent="0.25">
      <c r="C9" t="s">
        <v>49</v>
      </c>
      <c r="F9" s="3">
        <f>F7-F8</f>
        <v>314.21480650000001</v>
      </c>
      <c r="G9" s="3">
        <f t="shared" ref="G9:K9" si="2">G7-G8</f>
        <v>267.41480650000005</v>
      </c>
      <c r="H9" s="3">
        <f t="shared" si="2"/>
        <v>275.81480650000015</v>
      </c>
      <c r="I9" s="3">
        <f t="shared" si="2"/>
        <v>284.21480650000012</v>
      </c>
      <c r="J9" s="3">
        <f t="shared" si="2"/>
        <v>292.6148065000001</v>
      </c>
      <c r="K9" s="3">
        <f t="shared" si="2"/>
        <v>301.01480650000008</v>
      </c>
      <c r="L9" s="3">
        <f t="shared" ref="L9" si="3">L7-L8</f>
        <v>309.41480650000005</v>
      </c>
      <c r="M9" s="3">
        <f t="shared" ref="M9" si="4">M7-M8</f>
        <v>317.81480650000015</v>
      </c>
      <c r="N9" s="3">
        <f t="shared" ref="N9" si="5">N7-N8</f>
        <v>326.21480650000012</v>
      </c>
      <c r="O9" s="3">
        <f t="shared" ref="O9" si="6">O7-O8</f>
        <v>334.6148065000001</v>
      </c>
      <c r="Q9" s="3">
        <f t="shared" si="0"/>
        <v>302.33480650000013</v>
      </c>
      <c r="R9" s="3">
        <f t="shared" si="1"/>
        <v>22.086738102309265</v>
      </c>
    </row>
    <row r="10" spans="1:18" x14ac:dyDescent="0.25">
      <c r="C10" t="s">
        <v>86</v>
      </c>
      <c r="F10" s="3">
        <f>'Long-Run Projections'!G67+'Long-Run Projections'!G81</f>
        <v>403.49</v>
      </c>
      <c r="G10" s="3">
        <f>'Long-Run Projections'!H67+'Long-Run Projections'!H81</f>
        <v>403.49</v>
      </c>
      <c r="H10" s="3">
        <f>'Long-Run Projections'!I67+'Long-Run Projections'!I81</f>
        <v>403.49</v>
      </c>
      <c r="I10" s="3">
        <f>'Long-Run Projections'!J67+'Long-Run Projections'!J81</f>
        <v>403.49</v>
      </c>
      <c r="J10" s="3">
        <f>'Long-Run Projections'!K67+'Long-Run Projections'!K81</f>
        <v>403.49</v>
      </c>
      <c r="K10" s="3">
        <f>'Long-Run Projections'!L67+'Long-Run Projections'!L81</f>
        <v>403.49</v>
      </c>
      <c r="L10" s="3">
        <f>'Long-Run Projections'!M67+'Long-Run Projections'!M81</f>
        <v>403.49</v>
      </c>
      <c r="M10" s="3">
        <f>'Long-Run Projections'!N67+'Long-Run Projections'!N81</f>
        <v>403.49</v>
      </c>
      <c r="N10" s="3">
        <f>'Long-Run Projections'!O67+'Long-Run Projections'!O81</f>
        <v>403.49</v>
      </c>
      <c r="O10" s="3">
        <f>'Long-Run Projections'!P67+'Long-Run Projections'!P81</f>
        <v>403.49</v>
      </c>
      <c r="Q10" s="3">
        <f t="shared" si="0"/>
        <v>403.48999999999995</v>
      </c>
      <c r="R10" s="3">
        <f t="shared" si="1"/>
        <v>5.9918224530375701E-14</v>
      </c>
    </row>
    <row r="11" spans="1:18" x14ac:dyDescent="0.25">
      <c r="C11" t="s">
        <v>50</v>
      </c>
      <c r="F11" s="3">
        <f>F9-F10</f>
        <v>-89.2751935</v>
      </c>
      <c r="G11" s="3">
        <f t="shared" ref="G11:K11" si="7">G9-G10</f>
        <v>-136.07519349999995</v>
      </c>
      <c r="H11" s="3">
        <f t="shared" si="7"/>
        <v>-127.67519349999986</v>
      </c>
      <c r="I11" s="3">
        <f t="shared" si="7"/>
        <v>-119.27519349999989</v>
      </c>
      <c r="J11" s="3">
        <f t="shared" si="7"/>
        <v>-110.87519349999991</v>
      </c>
      <c r="K11" s="3">
        <f t="shared" si="7"/>
        <v>-102.47519349999993</v>
      </c>
      <c r="L11" s="3">
        <f t="shared" ref="L11" si="8">L9-L10</f>
        <v>-94.075193499999955</v>
      </c>
      <c r="M11" s="3">
        <f t="shared" ref="M11" si="9">M9-M10</f>
        <v>-85.675193499999864</v>
      </c>
      <c r="N11" s="3">
        <f t="shared" ref="N11" si="10">N9-N10</f>
        <v>-77.275193499999887</v>
      </c>
      <c r="O11" s="3">
        <f t="shared" ref="O11" si="11">O9-O10</f>
        <v>-68.875193499999909</v>
      </c>
      <c r="Q11" s="3">
        <f t="shared" si="0"/>
        <v>-101.15519349999991</v>
      </c>
      <c r="R11" s="3">
        <f t="shared" si="1"/>
        <v>22.086738102309262</v>
      </c>
    </row>
    <row r="12" spans="1:18" x14ac:dyDescent="0.25">
      <c r="F12" s="3"/>
      <c r="G12" s="3"/>
      <c r="H12" s="3"/>
      <c r="I12" s="3"/>
      <c r="J12" s="3"/>
      <c r="K12" s="3"/>
      <c r="L12" s="3"/>
      <c r="M12" s="3"/>
      <c r="N12" s="3"/>
      <c r="O12" s="3"/>
      <c r="Q12" s="3"/>
      <c r="R12" s="3"/>
    </row>
    <row r="13" spans="1:18" x14ac:dyDescent="0.25">
      <c r="C13" t="s">
        <v>92</v>
      </c>
      <c r="F13" s="3">
        <f>F11+'Long-Run Projections'!G81</f>
        <v>165.7248065</v>
      </c>
      <c r="G13" s="3">
        <f>G11+'Long-Run Projections'!H81</f>
        <v>118.92480650000005</v>
      </c>
      <c r="H13" s="3">
        <f>H11+'Long-Run Projections'!I81</f>
        <v>127.32480650000014</v>
      </c>
      <c r="I13" s="3">
        <f>I11+'Long-Run Projections'!J81</f>
        <v>135.72480650000011</v>
      </c>
      <c r="J13" s="3">
        <f>J11+'Long-Run Projections'!K81</f>
        <v>144.12480650000009</v>
      </c>
      <c r="K13" s="3">
        <f>K11+'Long-Run Projections'!L81</f>
        <v>152.52480650000007</v>
      </c>
      <c r="L13" s="3">
        <f>L11+'Long-Run Projections'!M81</f>
        <v>160.92480650000005</v>
      </c>
      <c r="M13" s="3">
        <f>M11+'Long-Run Projections'!N81</f>
        <v>169.32480650000014</v>
      </c>
      <c r="N13" s="3">
        <f>N11+'Long-Run Projections'!O81</f>
        <v>177.72480650000011</v>
      </c>
      <c r="O13" s="3">
        <f>O11+'Long-Run Projections'!P81</f>
        <v>186.12480650000009</v>
      </c>
      <c r="Q13" s="3">
        <f t="shared" ref="Q13" si="12">AVERAGE(F13:O13)</f>
        <v>153.84480650000009</v>
      </c>
      <c r="R13" s="3">
        <f t="shared" ref="R13" si="13">STDEV(F13:O13)</f>
        <v>22.086738102309116</v>
      </c>
    </row>
    <row r="15" spans="1:18" x14ac:dyDescent="0.25">
      <c r="B15" t="s">
        <v>117</v>
      </c>
    </row>
    <row r="17" spans="1:19" x14ac:dyDescent="0.25">
      <c r="C17" t="s">
        <v>83</v>
      </c>
      <c r="F17" s="3">
        <f>('Long-Run Projections'!G8*'Long-Run Projections'!G24)+('Long-Run Projections'!G40)</f>
        <v>713</v>
      </c>
      <c r="G17" s="3">
        <f>('Long-Run Projections'!H8*'Long-Run Projections'!H24)+('Long-Run Projections'!H40)</f>
        <v>662.30000000000007</v>
      </c>
      <c r="H17" s="3">
        <f>('Long-Run Projections'!I8*'Long-Run Projections'!I24)+('Long-Run Projections'!I40)</f>
        <v>667.5</v>
      </c>
      <c r="I17" s="3">
        <f>('Long-Run Projections'!J8*'Long-Run Projections'!J24)+('Long-Run Projections'!J40)</f>
        <v>672.7</v>
      </c>
      <c r="J17" s="3">
        <f>('Long-Run Projections'!K8*'Long-Run Projections'!K24)+('Long-Run Projections'!K40)</f>
        <v>677.90000000000009</v>
      </c>
      <c r="K17" s="3">
        <f>('Long-Run Projections'!L8*'Long-Run Projections'!L24)+('Long-Run Projections'!L40)</f>
        <v>683.1</v>
      </c>
      <c r="L17" s="3">
        <f>('Long-Run Projections'!M8*'Long-Run Projections'!M24)+('Long-Run Projections'!M40)</f>
        <v>688.30000000000007</v>
      </c>
      <c r="M17" s="3">
        <f>('Long-Run Projections'!N8*'Long-Run Projections'!N24)+('Long-Run Projections'!N40)</f>
        <v>693.5</v>
      </c>
      <c r="N17" s="3">
        <f>('Long-Run Projections'!O8*'Long-Run Projections'!O24)+('Long-Run Projections'!O40)</f>
        <v>698.7</v>
      </c>
      <c r="O17" s="3">
        <f>('Long-Run Projections'!P8*'Long-Run Projections'!P24)+('Long-Run Projections'!P40)</f>
        <v>703.90000000000009</v>
      </c>
      <c r="Q17" s="3">
        <f>AVERAGE(F17:O17)</f>
        <v>686.08999999999992</v>
      </c>
      <c r="R17" s="3">
        <f>STDEV(F17:O17)</f>
        <v>16.421561030141639</v>
      </c>
    </row>
    <row r="18" spans="1:19" x14ac:dyDescent="0.25">
      <c r="C18" t="s">
        <v>85</v>
      </c>
      <c r="F18" s="3">
        <f>'Long-Run Projections'!G54</f>
        <v>327.20808149999999</v>
      </c>
      <c r="G18" s="3">
        <f>'Long-Run Projections'!H54</f>
        <v>327.20808149999999</v>
      </c>
      <c r="H18" s="3">
        <f>'Long-Run Projections'!I54</f>
        <v>327.20808149999999</v>
      </c>
      <c r="I18" s="3">
        <f>'Long-Run Projections'!J54</f>
        <v>327.20808149999999</v>
      </c>
      <c r="J18" s="3">
        <f>'Long-Run Projections'!K54</f>
        <v>327.20808149999999</v>
      </c>
      <c r="K18" s="3">
        <f>'Long-Run Projections'!L54</f>
        <v>327.20808149999999</v>
      </c>
      <c r="L18" s="3">
        <f>'Long-Run Projections'!M54</f>
        <v>327.20808149999999</v>
      </c>
      <c r="M18" s="3">
        <f>'Long-Run Projections'!N54</f>
        <v>327.20808149999999</v>
      </c>
      <c r="N18" s="3">
        <f>'Long-Run Projections'!O54</f>
        <v>327.20808149999999</v>
      </c>
      <c r="O18" s="3">
        <f>'Long-Run Projections'!P54</f>
        <v>327.20808149999999</v>
      </c>
      <c r="Q18" s="3">
        <f t="shared" ref="Q18:Q21" si="14">AVERAGE(F18:O18)</f>
        <v>327.20808149999999</v>
      </c>
      <c r="R18" s="3">
        <f t="shared" ref="R18:R21" si="15">STDEV(F18:O18)</f>
        <v>0</v>
      </c>
    </row>
    <row r="19" spans="1:19" x14ac:dyDescent="0.25">
      <c r="C19" t="s">
        <v>49</v>
      </c>
      <c r="F19" s="3">
        <f>F17-F18</f>
        <v>385.79191850000001</v>
      </c>
      <c r="G19" s="3">
        <f t="shared" ref="G19:J19" si="16">G17-G18</f>
        <v>335.09191850000008</v>
      </c>
      <c r="H19" s="3">
        <f t="shared" si="16"/>
        <v>340.29191850000001</v>
      </c>
      <c r="I19" s="3">
        <f t="shared" si="16"/>
        <v>345.49191850000005</v>
      </c>
      <c r="J19" s="3">
        <f t="shared" si="16"/>
        <v>350.6919185000001</v>
      </c>
      <c r="K19" s="3">
        <f t="shared" ref="K19" si="17">K17-K18</f>
        <v>355.89191850000003</v>
      </c>
      <c r="L19" s="3">
        <f t="shared" ref="L19" si="18">L17-L18</f>
        <v>361.09191850000008</v>
      </c>
      <c r="M19" s="3">
        <f t="shared" ref="M19" si="19">M17-M18</f>
        <v>366.29191850000001</v>
      </c>
      <c r="N19" s="3">
        <f t="shared" ref="N19:O19" si="20">N17-N18</f>
        <v>371.49191850000005</v>
      </c>
      <c r="O19" s="3">
        <f t="shared" si="20"/>
        <v>376.6919185000001</v>
      </c>
      <c r="Q19" s="3">
        <f t="shared" si="14"/>
        <v>358.8819185000001</v>
      </c>
      <c r="R19" s="3">
        <f t="shared" si="15"/>
        <v>16.421561030141639</v>
      </c>
    </row>
    <row r="20" spans="1:19" x14ac:dyDescent="0.25">
      <c r="C20" t="s">
        <v>86</v>
      </c>
      <c r="F20" s="3">
        <f>'Long-Run Projections'!G68+'Long-Run Projections'!G82</f>
        <v>379.9</v>
      </c>
      <c r="G20" s="3">
        <f>'Long-Run Projections'!H68+'Long-Run Projections'!H82</f>
        <v>379.9</v>
      </c>
      <c r="H20" s="3">
        <f>'Long-Run Projections'!I68+'Long-Run Projections'!I82</f>
        <v>379.9</v>
      </c>
      <c r="I20" s="3">
        <f>'Long-Run Projections'!J68+'Long-Run Projections'!J82</f>
        <v>379.9</v>
      </c>
      <c r="J20" s="3">
        <f>'Long-Run Projections'!K68+'Long-Run Projections'!K82</f>
        <v>379.9</v>
      </c>
      <c r="K20" s="3">
        <f>'Long-Run Projections'!L68+'Long-Run Projections'!L82</f>
        <v>379.9</v>
      </c>
      <c r="L20" s="3">
        <f>'Long-Run Projections'!M68+'Long-Run Projections'!M82</f>
        <v>379.9</v>
      </c>
      <c r="M20" s="3">
        <f>'Long-Run Projections'!N68+'Long-Run Projections'!N82</f>
        <v>379.9</v>
      </c>
      <c r="N20" s="3">
        <f>'Long-Run Projections'!O68+'Long-Run Projections'!O82</f>
        <v>379.9</v>
      </c>
      <c r="O20" s="3">
        <f>'Long-Run Projections'!P68+'Long-Run Projections'!P82</f>
        <v>379.9</v>
      </c>
      <c r="Q20" s="3">
        <f t="shared" si="14"/>
        <v>379.90000000000003</v>
      </c>
      <c r="R20" s="3">
        <f t="shared" si="15"/>
        <v>5.9918224530375701E-14</v>
      </c>
    </row>
    <row r="21" spans="1:19" x14ac:dyDescent="0.25">
      <c r="C21" t="s">
        <v>50</v>
      </c>
      <c r="F21" s="3">
        <f>F19-F20</f>
        <v>5.8919185000000311</v>
      </c>
      <c r="G21" s="3">
        <f t="shared" ref="G21:J21" si="21">G19-G20</f>
        <v>-44.808081499999901</v>
      </c>
      <c r="H21" s="3">
        <f t="shared" si="21"/>
        <v>-39.608081499999969</v>
      </c>
      <c r="I21" s="3">
        <f t="shared" si="21"/>
        <v>-34.408081499999923</v>
      </c>
      <c r="J21" s="3">
        <f t="shared" si="21"/>
        <v>-29.208081499999878</v>
      </c>
      <c r="K21" s="3">
        <f t="shared" ref="K21" si="22">K19-K20</f>
        <v>-24.008081499999946</v>
      </c>
      <c r="L21" s="3">
        <f t="shared" ref="L21" si="23">L19-L20</f>
        <v>-18.808081499999901</v>
      </c>
      <c r="M21" s="3">
        <f t="shared" ref="M21" si="24">M19-M20</f>
        <v>-13.608081499999969</v>
      </c>
      <c r="N21" s="3">
        <f t="shared" ref="N21:O21" si="25">N19-N20</f>
        <v>-8.4080814999999234</v>
      </c>
      <c r="O21" s="3">
        <f t="shared" si="25"/>
        <v>-3.2080814999998779</v>
      </c>
      <c r="Q21" s="3">
        <f t="shared" si="14"/>
        <v>-21.018081499999926</v>
      </c>
      <c r="R21" s="3">
        <f t="shared" si="15"/>
        <v>16.421561030141639</v>
      </c>
    </row>
    <row r="22" spans="1:19" x14ac:dyDescent="0.25">
      <c r="F22" s="3"/>
      <c r="G22" s="3"/>
      <c r="H22" s="3"/>
      <c r="I22" s="3"/>
      <c r="J22" s="3"/>
      <c r="K22" s="3"/>
      <c r="L22" s="3"/>
      <c r="M22" s="3"/>
      <c r="N22" s="3"/>
      <c r="O22" s="3"/>
      <c r="Q22" s="3"/>
      <c r="R22" s="3"/>
    </row>
    <row r="23" spans="1:19" x14ac:dyDescent="0.25">
      <c r="C23" t="s">
        <v>92</v>
      </c>
      <c r="F23" s="3">
        <f>F21+'Long-Run Projections'!G82</f>
        <v>260.89191850000003</v>
      </c>
      <c r="G23" s="3">
        <f>G21+'Long-Run Projections'!H82</f>
        <v>210.1919185000001</v>
      </c>
      <c r="H23" s="3">
        <f>H21+'Long-Run Projections'!I82</f>
        <v>215.39191850000003</v>
      </c>
      <c r="I23" s="3">
        <f>I21+'Long-Run Projections'!J82</f>
        <v>220.59191850000008</v>
      </c>
      <c r="J23" s="3">
        <f>J21+'Long-Run Projections'!K82</f>
        <v>225.79191850000012</v>
      </c>
      <c r="K23" s="3">
        <f>K21+'Long-Run Projections'!L82</f>
        <v>230.99191850000005</v>
      </c>
      <c r="L23" s="3">
        <f>L21+'Long-Run Projections'!M82</f>
        <v>236.1919185000001</v>
      </c>
      <c r="M23" s="3">
        <f>M21+'Long-Run Projections'!N82</f>
        <v>241.39191850000003</v>
      </c>
      <c r="N23" s="3">
        <f>N21+'Long-Run Projections'!O82</f>
        <v>246.59191850000008</v>
      </c>
      <c r="O23" s="3">
        <f>O21+'Long-Run Projections'!P82</f>
        <v>251.79191850000012</v>
      </c>
      <c r="Q23" s="3">
        <f t="shared" ref="Q23" si="26">AVERAGE(F23:O23)</f>
        <v>233.98191850000006</v>
      </c>
      <c r="R23" s="3">
        <f t="shared" ref="R23" si="27">STDEV(F23:O23)</f>
        <v>16.421561030141639</v>
      </c>
    </row>
    <row r="25" spans="1:19" x14ac:dyDescent="0.25">
      <c r="A25" s="31"/>
      <c r="B25" s="31" t="s">
        <v>118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25">
      <c r="A27" s="31"/>
      <c r="B27" s="31"/>
      <c r="C27" s="31" t="s">
        <v>94</v>
      </c>
      <c r="D27" s="31"/>
      <c r="E27" s="31"/>
      <c r="F27" s="32">
        <f>AVERAGE(F7, F17)</f>
        <v>824.4</v>
      </c>
      <c r="G27" s="32">
        <f t="shared" ref="G27:J27" si="28">AVERAGE(G7, G17)</f>
        <v>775.65000000000009</v>
      </c>
      <c r="H27" s="32">
        <f t="shared" si="28"/>
        <v>782.45</v>
      </c>
      <c r="I27" s="32">
        <f t="shared" si="28"/>
        <v>789.25</v>
      </c>
      <c r="J27" s="32">
        <f t="shared" si="28"/>
        <v>796.05000000000007</v>
      </c>
      <c r="K27" s="32">
        <f t="shared" ref="K27:N27" si="29">AVERAGE(K7, K17)</f>
        <v>802.85</v>
      </c>
      <c r="L27" s="32">
        <f t="shared" si="29"/>
        <v>809.65000000000009</v>
      </c>
      <c r="M27" s="32">
        <f t="shared" si="29"/>
        <v>816.45</v>
      </c>
      <c r="N27" s="32">
        <f t="shared" si="29"/>
        <v>823.25</v>
      </c>
      <c r="O27" s="32">
        <f t="shared" ref="O27" si="30">AVERAGE(O7, O17)</f>
        <v>830.05000000000007</v>
      </c>
      <c r="P27" s="31"/>
      <c r="Q27" s="32">
        <f t="shared" ref="Q27:Q31" si="31">AVERAGE(F27:O27)</f>
        <v>805.00500000000011</v>
      </c>
      <c r="R27" s="32">
        <f t="shared" ref="R27:R31" si="32">STDEV(F27:O27)</f>
        <v>18.833664451366502</v>
      </c>
      <c r="S27" s="31"/>
    </row>
    <row r="28" spans="1:19" x14ac:dyDescent="0.25">
      <c r="A28" s="31"/>
      <c r="B28" s="31"/>
      <c r="C28" s="31" t="s">
        <v>85</v>
      </c>
      <c r="D28" s="31"/>
      <c r="E28" s="31"/>
      <c r="F28" s="32">
        <f>AVERAGE(F8, F18)</f>
        <v>474.3966375</v>
      </c>
      <c r="G28" s="32">
        <f t="shared" ref="G28:J31" si="33">AVERAGE(G8, G18)</f>
        <v>474.3966375</v>
      </c>
      <c r="H28" s="32">
        <f t="shared" si="33"/>
        <v>474.3966375</v>
      </c>
      <c r="I28" s="32">
        <f t="shared" si="33"/>
        <v>474.3966375</v>
      </c>
      <c r="J28" s="32">
        <f t="shared" si="33"/>
        <v>474.3966375</v>
      </c>
      <c r="K28" s="32">
        <f t="shared" ref="K28:N28" si="34">AVERAGE(K8, K18)</f>
        <v>474.3966375</v>
      </c>
      <c r="L28" s="32">
        <f t="shared" si="34"/>
        <v>474.3966375</v>
      </c>
      <c r="M28" s="32">
        <f t="shared" si="34"/>
        <v>474.3966375</v>
      </c>
      <c r="N28" s="32">
        <f t="shared" si="34"/>
        <v>474.3966375</v>
      </c>
      <c r="O28" s="32">
        <f t="shared" ref="O28" si="35">AVERAGE(O8, O18)</f>
        <v>474.3966375</v>
      </c>
      <c r="P28" s="31"/>
      <c r="Q28" s="32">
        <f t="shared" si="31"/>
        <v>474.3966375</v>
      </c>
      <c r="R28" s="32">
        <f t="shared" si="32"/>
        <v>0</v>
      </c>
      <c r="S28" s="31"/>
    </row>
    <row r="29" spans="1:19" x14ac:dyDescent="0.25">
      <c r="A29" s="31"/>
      <c r="B29" s="31"/>
      <c r="C29" s="31" t="s">
        <v>49</v>
      </c>
      <c r="D29" s="31"/>
      <c r="E29" s="31"/>
      <c r="F29" s="32">
        <f>AVERAGE(F9, F19)</f>
        <v>350.00336249999998</v>
      </c>
      <c r="G29" s="32">
        <f t="shared" si="33"/>
        <v>301.25336250000009</v>
      </c>
      <c r="H29" s="32">
        <f t="shared" si="33"/>
        <v>308.05336250000005</v>
      </c>
      <c r="I29" s="32">
        <f t="shared" si="33"/>
        <v>314.85336250000012</v>
      </c>
      <c r="J29" s="32">
        <f t="shared" si="33"/>
        <v>321.65336250000007</v>
      </c>
      <c r="K29" s="32">
        <f t="shared" ref="K29:N29" si="36">AVERAGE(K9, K19)</f>
        <v>328.45336250000003</v>
      </c>
      <c r="L29" s="32">
        <f t="shared" si="36"/>
        <v>335.25336250000009</v>
      </c>
      <c r="M29" s="32">
        <f t="shared" si="36"/>
        <v>342.05336250000005</v>
      </c>
      <c r="N29" s="32">
        <f t="shared" si="36"/>
        <v>348.85336250000012</v>
      </c>
      <c r="O29" s="32">
        <f t="shared" ref="O29" si="37">AVERAGE(O9, O19)</f>
        <v>355.65336250000007</v>
      </c>
      <c r="P29" s="31"/>
      <c r="Q29" s="32">
        <f t="shared" si="31"/>
        <v>330.6083625</v>
      </c>
      <c r="R29" s="32">
        <f t="shared" si="32"/>
        <v>18.833664451366502</v>
      </c>
      <c r="S29" s="31"/>
    </row>
    <row r="30" spans="1:19" x14ac:dyDescent="0.25">
      <c r="A30" s="31"/>
      <c r="B30" s="31"/>
      <c r="C30" s="31" t="s">
        <v>86</v>
      </c>
      <c r="D30" s="31"/>
      <c r="E30" s="31"/>
      <c r="F30" s="32">
        <f>AVERAGE(F10, F20)</f>
        <v>391.69499999999999</v>
      </c>
      <c r="G30" s="32">
        <f t="shared" si="33"/>
        <v>391.69499999999999</v>
      </c>
      <c r="H30" s="32">
        <f t="shared" si="33"/>
        <v>391.69499999999999</v>
      </c>
      <c r="I30" s="32">
        <f t="shared" si="33"/>
        <v>391.69499999999999</v>
      </c>
      <c r="J30" s="32">
        <f t="shared" si="33"/>
        <v>391.69499999999999</v>
      </c>
      <c r="K30" s="32">
        <f t="shared" ref="K30:N30" si="38">AVERAGE(K10, K20)</f>
        <v>391.69499999999999</v>
      </c>
      <c r="L30" s="32">
        <f t="shared" si="38"/>
        <v>391.69499999999999</v>
      </c>
      <c r="M30" s="32">
        <f t="shared" si="38"/>
        <v>391.69499999999999</v>
      </c>
      <c r="N30" s="32">
        <f t="shared" si="38"/>
        <v>391.69499999999999</v>
      </c>
      <c r="O30" s="32">
        <f t="shared" ref="O30" si="39">AVERAGE(O10, O20)</f>
        <v>391.69499999999999</v>
      </c>
      <c r="P30" s="31"/>
      <c r="Q30" s="32">
        <f t="shared" si="31"/>
        <v>391.69500000000005</v>
      </c>
      <c r="R30" s="32">
        <f t="shared" si="32"/>
        <v>5.9918224530375701E-14</v>
      </c>
      <c r="S30" s="31"/>
    </row>
    <row r="31" spans="1:19" x14ac:dyDescent="0.25">
      <c r="A31" s="31"/>
      <c r="B31" s="31"/>
      <c r="C31" s="31" t="s">
        <v>50</v>
      </c>
      <c r="D31" s="31"/>
      <c r="E31" s="31"/>
      <c r="F31" s="32">
        <f>AVERAGE(F11, F21)</f>
        <v>-41.691637499999985</v>
      </c>
      <c r="G31" s="32">
        <f t="shared" si="33"/>
        <v>-90.441637499999928</v>
      </c>
      <c r="H31" s="32">
        <f t="shared" si="33"/>
        <v>-83.641637499999916</v>
      </c>
      <c r="I31" s="32">
        <f t="shared" si="33"/>
        <v>-76.841637499999905</v>
      </c>
      <c r="J31" s="32">
        <f t="shared" si="33"/>
        <v>-70.041637499999894</v>
      </c>
      <c r="K31" s="32">
        <f t="shared" ref="K31:N31" si="40">AVERAGE(K11, K21)</f>
        <v>-63.241637499999939</v>
      </c>
      <c r="L31" s="32">
        <f t="shared" si="40"/>
        <v>-56.441637499999928</v>
      </c>
      <c r="M31" s="32">
        <f t="shared" si="40"/>
        <v>-49.641637499999916</v>
      </c>
      <c r="N31" s="32">
        <f t="shared" si="40"/>
        <v>-42.841637499999905</v>
      </c>
      <c r="O31" s="32">
        <f t="shared" ref="O31:O33" si="41">AVERAGE(O11, O21)</f>
        <v>-36.041637499999894</v>
      </c>
      <c r="P31" s="31"/>
      <c r="Q31" s="32">
        <f t="shared" si="31"/>
        <v>-61.086637499999917</v>
      </c>
      <c r="R31" s="32">
        <f t="shared" si="32"/>
        <v>18.833664451366527</v>
      </c>
      <c r="S31" s="31"/>
    </row>
    <row r="32" spans="1:19" x14ac:dyDescent="0.25">
      <c r="A32" s="31"/>
      <c r="B32" s="31"/>
      <c r="C32" s="31"/>
      <c r="D32" s="31"/>
      <c r="E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1"/>
      <c r="Q32" s="32"/>
      <c r="R32" s="32"/>
      <c r="S32" s="31"/>
    </row>
    <row r="33" spans="1:19" x14ac:dyDescent="0.25">
      <c r="A33" s="31"/>
      <c r="B33" s="31"/>
      <c r="C33" s="31" t="s">
        <v>92</v>
      </c>
      <c r="D33" s="31"/>
      <c r="E33" s="31"/>
      <c r="F33" s="32">
        <f>AVERAGE(F13, F23)</f>
        <v>213.30836250000002</v>
      </c>
      <c r="G33" s="32">
        <f t="shared" ref="G33:N33" si="42">AVERAGE(G13, G23)</f>
        <v>164.55836250000007</v>
      </c>
      <c r="H33" s="32">
        <f t="shared" si="42"/>
        <v>171.35836250000008</v>
      </c>
      <c r="I33" s="32">
        <f t="shared" si="42"/>
        <v>178.15836250000009</v>
      </c>
      <c r="J33" s="32">
        <f t="shared" si="42"/>
        <v>184.95836250000011</v>
      </c>
      <c r="K33" s="32">
        <f t="shared" si="42"/>
        <v>191.75836250000006</v>
      </c>
      <c r="L33" s="32">
        <f t="shared" si="42"/>
        <v>198.55836250000007</v>
      </c>
      <c r="M33" s="32">
        <f t="shared" si="42"/>
        <v>205.35836250000008</v>
      </c>
      <c r="N33" s="32">
        <f t="shared" si="42"/>
        <v>212.15836250000009</v>
      </c>
      <c r="O33" s="32">
        <f t="shared" si="41"/>
        <v>218.95836250000011</v>
      </c>
      <c r="P33" s="31"/>
      <c r="Q33" s="32">
        <f t="shared" ref="Q33" si="43">AVERAGE(F33:O33)</f>
        <v>193.91336250000009</v>
      </c>
      <c r="R33" s="32">
        <f t="shared" ref="R33" si="44">STDEV(F33:O33)</f>
        <v>18.833664451366506</v>
      </c>
      <c r="S33" s="31"/>
    </row>
    <row r="35" spans="1:19" x14ac:dyDescent="0.25">
      <c r="B35" t="s">
        <v>119</v>
      </c>
    </row>
    <row r="37" spans="1:19" x14ac:dyDescent="0.25">
      <c r="C37" t="s">
        <v>83</v>
      </c>
      <c r="F37" s="3">
        <f>('Long-Run Projections'!G9*'Long-Run Projections'!G25)+('Long-Run Projections'!G10*'Long-Run Projections'!G26)+('Long-Run Projections'!G41)</f>
        <v>385</v>
      </c>
      <c r="G37" s="3">
        <f>('Long-Run Projections'!H9*'Long-Run Projections'!H25)+('Long-Run Projections'!H10*'Long-Run Projections'!H26)+('Long-Run Projections'!H41)</f>
        <v>388.20749999999998</v>
      </c>
      <c r="H37" s="3">
        <f>('Long-Run Projections'!I9*'Long-Run Projections'!I25)+('Long-Run Projections'!I10*'Long-Run Projections'!I26)+('Long-Run Projections'!I41)</f>
        <v>389.41500000000002</v>
      </c>
      <c r="I37" s="3">
        <f>('Long-Run Projections'!J9*'Long-Run Projections'!J25)+('Long-Run Projections'!J10*'Long-Run Projections'!J26)+('Long-Run Projections'!J41)</f>
        <v>390.62250000000006</v>
      </c>
      <c r="J37" s="3">
        <f>('Long-Run Projections'!K9*'Long-Run Projections'!K25)+('Long-Run Projections'!K10*'Long-Run Projections'!K26)+('Long-Run Projections'!K41)</f>
        <v>391.83000000000004</v>
      </c>
      <c r="K37" s="3">
        <f>('Long-Run Projections'!L9*'Long-Run Projections'!L25)+('Long-Run Projections'!L10*'Long-Run Projections'!L26)+('Long-Run Projections'!L41)</f>
        <v>393.03750000000002</v>
      </c>
      <c r="L37" s="3">
        <f>('Long-Run Projections'!M9*'Long-Run Projections'!M25)+('Long-Run Projections'!M10*'Long-Run Projections'!M26)+('Long-Run Projections'!M41)</f>
        <v>394.245</v>
      </c>
      <c r="M37" s="3">
        <f>('Long-Run Projections'!N9*'Long-Run Projections'!N25)+('Long-Run Projections'!N10*'Long-Run Projections'!N26)+('Long-Run Projections'!N41)</f>
        <v>395.45250000000004</v>
      </c>
      <c r="N37" s="3">
        <f>('Long-Run Projections'!O9*'Long-Run Projections'!O25)+('Long-Run Projections'!O10*'Long-Run Projections'!O26)+('Long-Run Projections'!O41)</f>
        <v>396.66000000000008</v>
      </c>
      <c r="O37" s="3">
        <f>('Long-Run Projections'!P9*'Long-Run Projections'!P25)+('Long-Run Projections'!P10*'Long-Run Projections'!P26)+('Long-Run Projections'!P41)</f>
        <v>397.86750000000006</v>
      </c>
      <c r="Q37" s="3">
        <f t="shared" ref="Q37:Q41" si="45">AVERAGE(F37:O37)</f>
        <v>392.23374999999999</v>
      </c>
      <c r="R37" s="3">
        <f t="shared" ref="R37:R41" si="46">STDEV(F37:O37)</f>
        <v>4.0225011653199276</v>
      </c>
    </row>
    <row r="38" spans="1:19" x14ac:dyDescent="0.25">
      <c r="C38" t="s">
        <v>85</v>
      </c>
      <c r="F38" s="3">
        <f>'Long-Run Projections'!G55</f>
        <v>173.10250000000002</v>
      </c>
      <c r="G38" s="3">
        <f>'Long-Run Projections'!H55</f>
        <v>173.10250000000002</v>
      </c>
      <c r="H38" s="3">
        <f>'Long-Run Projections'!I55</f>
        <v>173.10250000000002</v>
      </c>
      <c r="I38" s="3">
        <f>'Long-Run Projections'!J55</f>
        <v>173.10250000000002</v>
      </c>
      <c r="J38" s="3">
        <f>'Long-Run Projections'!K55</f>
        <v>173.10250000000002</v>
      </c>
      <c r="K38" s="3">
        <f>'Long-Run Projections'!L55</f>
        <v>173.10250000000002</v>
      </c>
      <c r="L38" s="3">
        <f>'Long-Run Projections'!M55</f>
        <v>173.10250000000002</v>
      </c>
      <c r="M38" s="3">
        <f>'Long-Run Projections'!N55</f>
        <v>173.10250000000002</v>
      </c>
      <c r="N38" s="3">
        <f>'Long-Run Projections'!O55</f>
        <v>173.10250000000002</v>
      </c>
      <c r="O38" s="3">
        <f>'Long-Run Projections'!P55</f>
        <v>173.10250000000002</v>
      </c>
      <c r="Q38" s="3">
        <f t="shared" si="45"/>
        <v>173.10249999999999</v>
      </c>
      <c r="R38" s="3">
        <f t="shared" si="46"/>
        <v>2.995911226518785E-14</v>
      </c>
    </row>
    <row r="39" spans="1:19" x14ac:dyDescent="0.25">
      <c r="C39" t="s">
        <v>49</v>
      </c>
      <c r="F39" s="3">
        <f>F37-F38</f>
        <v>211.89749999999998</v>
      </c>
      <c r="G39" s="3">
        <f t="shared" ref="G39:H39" si="47">G37-G38</f>
        <v>215.10499999999996</v>
      </c>
      <c r="H39" s="3">
        <f t="shared" si="47"/>
        <v>216.3125</v>
      </c>
      <c r="I39" s="3">
        <f t="shared" ref="I39" si="48">I37-I38</f>
        <v>217.52000000000004</v>
      </c>
      <c r="J39" s="3">
        <f t="shared" ref="J39" si="49">J37-J38</f>
        <v>218.72750000000002</v>
      </c>
      <c r="K39" s="3">
        <f t="shared" ref="K39" si="50">K37-K38</f>
        <v>219.935</v>
      </c>
      <c r="L39" s="3">
        <f t="shared" ref="L39" si="51">L37-L38</f>
        <v>221.14249999999998</v>
      </c>
      <c r="M39" s="3">
        <f t="shared" ref="M39" si="52">M37-M38</f>
        <v>222.35000000000002</v>
      </c>
      <c r="N39" s="3">
        <f t="shared" ref="N39" si="53">N37-N38</f>
        <v>223.55750000000006</v>
      </c>
      <c r="O39" s="3">
        <f t="shared" ref="O39" si="54">O37-O38</f>
        <v>224.76500000000004</v>
      </c>
      <c r="Q39" s="3">
        <f t="shared" si="45"/>
        <v>219.13124999999999</v>
      </c>
      <c r="R39" s="3">
        <f t="shared" si="46"/>
        <v>4.0225011653199285</v>
      </c>
    </row>
    <row r="40" spans="1:19" x14ac:dyDescent="0.25">
      <c r="C40" t="s">
        <v>86</v>
      </c>
      <c r="F40" s="3">
        <f>'Long-Run Projections'!G69+'Long-Run Projections'!G83</f>
        <v>427.97</v>
      </c>
      <c r="G40" s="3">
        <f>'Long-Run Projections'!H69+'Long-Run Projections'!H83</f>
        <v>427.97</v>
      </c>
      <c r="H40" s="3">
        <f>'Long-Run Projections'!I69+'Long-Run Projections'!I83</f>
        <v>427.97</v>
      </c>
      <c r="I40" s="3">
        <f>'Long-Run Projections'!J69+'Long-Run Projections'!J83</f>
        <v>427.97</v>
      </c>
      <c r="J40" s="3">
        <f>'Long-Run Projections'!K69+'Long-Run Projections'!K83</f>
        <v>427.97</v>
      </c>
      <c r="K40" s="3">
        <f>'Long-Run Projections'!L69+'Long-Run Projections'!L83</f>
        <v>427.97</v>
      </c>
      <c r="L40" s="3">
        <f>'Long-Run Projections'!M69+'Long-Run Projections'!M83</f>
        <v>427.97</v>
      </c>
      <c r="M40" s="3">
        <f>'Long-Run Projections'!N69+'Long-Run Projections'!N83</f>
        <v>427.97</v>
      </c>
      <c r="N40" s="3">
        <f>'Long-Run Projections'!O69+'Long-Run Projections'!O83</f>
        <v>427.97</v>
      </c>
      <c r="O40" s="3">
        <f>'Long-Run Projections'!P69+'Long-Run Projections'!P83</f>
        <v>427.97</v>
      </c>
      <c r="Q40" s="3">
        <f t="shared" si="45"/>
        <v>427.97000000000014</v>
      </c>
      <c r="R40" s="3">
        <f t="shared" si="46"/>
        <v>1.198364490607514E-13</v>
      </c>
    </row>
    <row r="41" spans="1:19" x14ac:dyDescent="0.25">
      <c r="C41" t="s">
        <v>50</v>
      </c>
      <c r="F41" s="3">
        <f>F39-F40</f>
        <v>-216.07250000000005</v>
      </c>
      <c r="G41" s="3">
        <f t="shared" ref="G41:H41" si="55">G39-G40</f>
        <v>-212.86500000000007</v>
      </c>
      <c r="H41" s="3">
        <f t="shared" si="55"/>
        <v>-211.65750000000003</v>
      </c>
      <c r="I41" s="3">
        <f t="shared" ref="I41" si="56">I39-I40</f>
        <v>-210.45</v>
      </c>
      <c r="J41" s="3">
        <f t="shared" ref="J41" si="57">J39-J40</f>
        <v>-209.24250000000001</v>
      </c>
      <c r="K41" s="3">
        <f t="shared" ref="K41" si="58">K39-K40</f>
        <v>-208.03500000000003</v>
      </c>
      <c r="L41" s="3">
        <f t="shared" ref="L41" si="59">L39-L40</f>
        <v>-206.82750000000004</v>
      </c>
      <c r="M41" s="3">
        <f t="shared" ref="M41" si="60">M39-M40</f>
        <v>-205.62</v>
      </c>
      <c r="N41" s="3">
        <f t="shared" ref="N41" si="61">N39-N40</f>
        <v>-204.41249999999997</v>
      </c>
      <c r="O41" s="3">
        <f t="shared" ref="O41" si="62">O39-O40</f>
        <v>-203.20499999999998</v>
      </c>
      <c r="Q41" s="3">
        <f t="shared" si="45"/>
        <v>-208.83875000000003</v>
      </c>
      <c r="R41" s="3">
        <f t="shared" si="46"/>
        <v>4.0225011653199285</v>
      </c>
    </row>
    <row r="42" spans="1:19" x14ac:dyDescent="0.25">
      <c r="Q42" s="3"/>
      <c r="R42" s="3"/>
    </row>
    <row r="43" spans="1:19" x14ac:dyDescent="0.25">
      <c r="C43" t="s">
        <v>92</v>
      </c>
      <c r="F43" s="3">
        <f>F41+'Long-Run Projections'!G83</f>
        <v>38.927499999999952</v>
      </c>
      <c r="G43" s="3">
        <f>G41+'Long-Run Projections'!H83</f>
        <v>42.134999999999934</v>
      </c>
      <c r="H43" s="3">
        <f>H41+'Long-Run Projections'!I83</f>
        <v>43.342499999999973</v>
      </c>
      <c r="I43" s="3">
        <f>I41+'Long-Run Projections'!J83</f>
        <v>44.550000000000011</v>
      </c>
      <c r="J43" s="3">
        <f>J41+'Long-Run Projections'!K83</f>
        <v>45.757499999999993</v>
      </c>
      <c r="K43" s="3">
        <f>K41+'Long-Run Projections'!L83</f>
        <v>46.964999999999975</v>
      </c>
      <c r="L43" s="3">
        <f>L41+'Long-Run Projections'!M83</f>
        <v>48.172499999999957</v>
      </c>
      <c r="M43" s="3">
        <f>M41+'Long-Run Projections'!N83</f>
        <v>49.379999999999995</v>
      </c>
      <c r="N43" s="3">
        <f>N41+'Long-Run Projections'!O83</f>
        <v>50.587500000000034</v>
      </c>
      <c r="O43" s="3">
        <f>O41+'Long-Run Projections'!P83</f>
        <v>51.795000000000016</v>
      </c>
      <c r="Q43" s="3">
        <f t="shared" ref="Q43" si="63">AVERAGE(F43:O43)</f>
        <v>46.161249999999981</v>
      </c>
      <c r="R43" s="3">
        <f t="shared" ref="R43" si="64">STDEV(F43:O43)</f>
        <v>4.0225011653199285</v>
      </c>
    </row>
    <row r="45" spans="1:19" x14ac:dyDescent="0.25">
      <c r="B45" t="s">
        <v>120</v>
      </c>
    </row>
    <row r="47" spans="1:19" x14ac:dyDescent="0.25">
      <c r="C47" t="s">
        <v>83</v>
      </c>
      <c r="F47" s="3">
        <f>('Long-Run Projections'!G11*'Long-Run Projections'!G27)+('Long-Run Projections'!G42)</f>
        <v>720</v>
      </c>
      <c r="G47" s="3">
        <f>('Long-Run Projections'!H11*'Long-Run Projections'!H27)+('Long-Run Projections'!H42)</f>
        <v>736</v>
      </c>
      <c r="H47" s="3">
        <f>('Long-Run Projections'!I11*'Long-Run Projections'!I27)+('Long-Run Projections'!I42)</f>
        <v>751.99999999999989</v>
      </c>
      <c r="I47" s="3">
        <f>('Long-Run Projections'!J11*'Long-Run Projections'!J27)+('Long-Run Projections'!J42)</f>
        <v>767.99999999999977</v>
      </c>
      <c r="J47" s="3">
        <f>('Long-Run Projections'!K11*'Long-Run Projections'!K27)+('Long-Run Projections'!K42)</f>
        <v>783.99999999999977</v>
      </c>
      <c r="K47" s="3">
        <f>('Long-Run Projections'!L11*'Long-Run Projections'!L27)+('Long-Run Projections'!L42)</f>
        <v>799.99999999999977</v>
      </c>
      <c r="L47" s="3">
        <f>('Long-Run Projections'!M11*'Long-Run Projections'!M27)+('Long-Run Projections'!M42)</f>
        <v>815.99999999999966</v>
      </c>
      <c r="M47" s="3">
        <f>('Long-Run Projections'!N11*'Long-Run Projections'!N27)+('Long-Run Projections'!N42)</f>
        <v>831.99999999999955</v>
      </c>
      <c r="N47" s="3">
        <f>('Long-Run Projections'!O11*'Long-Run Projections'!O27)+('Long-Run Projections'!O42)</f>
        <v>847.99999999999955</v>
      </c>
      <c r="O47" s="3">
        <f>('Long-Run Projections'!P11*'Long-Run Projections'!P27)+('Long-Run Projections'!P42)</f>
        <v>863.99999999999955</v>
      </c>
      <c r="Q47" s="3">
        <f t="shared" ref="Q47:Q51" si="65">AVERAGE(F47:O47)</f>
        <v>792</v>
      </c>
      <c r="R47" s="3">
        <f t="shared" ref="R47:R51" si="66">STDEV(F47:O47)</f>
        <v>48.442405665559697</v>
      </c>
    </row>
    <row r="48" spans="1:19" x14ac:dyDescent="0.25">
      <c r="C48" t="s">
        <v>85</v>
      </c>
      <c r="F48" s="3">
        <f>'Long-Run Projections'!G56</f>
        <v>137.065</v>
      </c>
      <c r="G48" s="3">
        <f>'Long-Run Projections'!H56</f>
        <v>137.065</v>
      </c>
      <c r="H48" s="3">
        <f>'Long-Run Projections'!I56</f>
        <v>137.065</v>
      </c>
      <c r="I48" s="3">
        <f>'Long-Run Projections'!J56</f>
        <v>137.065</v>
      </c>
      <c r="J48" s="3">
        <f>'Long-Run Projections'!K56</f>
        <v>137.065</v>
      </c>
      <c r="K48" s="3">
        <f>'Long-Run Projections'!L56</f>
        <v>137.065</v>
      </c>
      <c r="L48" s="3">
        <f>'Long-Run Projections'!M56</f>
        <v>137.065</v>
      </c>
      <c r="M48" s="3">
        <f>'Long-Run Projections'!N56</f>
        <v>137.065</v>
      </c>
      <c r="N48" s="3">
        <f>'Long-Run Projections'!O56</f>
        <v>137.065</v>
      </c>
      <c r="O48" s="3">
        <f>'Long-Run Projections'!P56</f>
        <v>137.065</v>
      </c>
      <c r="Q48" s="3">
        <f t="shared" si="65"/>
        <v>137.06500000000003</v>
      </c>
      <c r="R48" s="3">
        <f t="shared" si="66"/>
        <v>2.995911226518785E-14</v>
      </c>
    </row>
    <row r="49" spans="2:18" x14ac:dyDescent="0.25">
      <c r="C49" t="s">
        <v>49</v>
      </c>
      <c r="F49" s="3">
        <f>F47-F48</f>
        <v>582.93499999999995</v>
      </c>
      <c r="G49" s="3">
        <f t="shared" ref="G49:J49" si="67">G47-G48</f>
        <v>598.93499999999995</v>
      </c>
      <c r="H49" s="3">
        <f t="shared" si="67"/>
        <v>614.93499999999995</v>
      </c>
      <c r="I49" s="3">
        <f t="shared" si="67"/>
        <v>630.93499999999972</v>
      </c>
      <c r="J49" s="3">
        <f t="shared" si="67"/>
        <v>646.93499999999972</v>
      </c>
      <c r="K49" s="3">
        <f t="shared" ref="K49" si="68">K47-K48</f>
        <v>662.93499999999972</v>
      </c>
      <c r="L49" s="3">
        <f t="shared" ref="L49" si="69">L47-L48</f>
        <v>678.93499999999972</v>
      </c>
      <c r="M49" s="3">
        <f t="shared" ref="M49" si="70">M47-M48</f>
        <v>694.93499999999949</v>
      </c>
      <c r="N49" s="3">
        <f t="shared" ref="N49:O49" si="71">N47-N48</f>
        <v>710.93499999999949</v>
      </c>
      <c r="O49" s="3">
        <f t="shared" si="71"/>
        <v>726.93499999999949</v>
      </c>
      <c r="Q49" s="3">
        <f t="shared" si="65"/>
        <v>654.93499999999972</v>
      </c>
      <c r="R49" s="3">
        <f t="shared" si="66"/>
        <v>48.44240566555969</v>
      </c>
    </row>
    <row r="50" spans="2:18" x14ac:dyDescent="0.25">
      <c r="C50" t="s">
        <v>86</v>
      </c>
      <c r="F50" s="3">
        <f>'Long-Run Projections'!G70+'Long-Run Projections'!G84</f>
        <v>510.65</v>
      </c>
      <c r="G50" s="3">
        <f>'Long-Run Projections'!H70+'Long-Run Projections'!H84</f>
        <v>510.65</v>
      </c>
      <c r="H50" s="3">
        <f>'Long-Run Projections'!I70+'Long-Run Projections'!I84</f>
        <v>510.65</v>
      </c>
      <c r="I50" s="3">
        <f>'Long-Run Projections'!J70+'Long-Run Projections'!J84</f>
        <v>510.65</v>
      </c>
      <c r="J50" s="3">
        <f>'Long-Run Projections'!K70+'Long-Run Projections'!K84</f>
        <v>510.65</v>
      </c>
      <c r="K50" s="3">
        <f>'Long-Run Projections'!L70+'Long-Run Projections'!L84</f>
        <v>510.65</v>
      </c>
      <c r="L50" s="3">
        <f>'Long-Run Projections'!M70+'Long-Run Projections'!M84</f>
        <v>510.65</v>
      </c>
      <c r="M50" s="3">
        <f>'Long-Run Projections'!N70+'Long-Run Projections'!N84</f>
        <v>510.65</v>
      </c>
      <c r="N50" s="3">
        <f>'Long-Run Projections'!O70+'Long-Run Projections'!O84</f>
        <v>510.65</v>
      </c>
      <c r="O50" s="3">
        <f>'Long-Run Projections'!P70+'Long-Run Projections'!P84</f>
        <v>510.65</v>
      </c>
      <c r="Q50" s="3">
        <f t="shared" si="65"/>
        <v>510.65</v>
      </c>
      <c r="R50" s="3">
        <f t="shared" si="66"/>
        <v>0</v>
      </c>
    </row>
    <row r="51" spans="2:18" x14ac:dyDescent="0.25">
      <c r="C51" t="s">
        <v>50</v>
      </c>
      <c r="F51" s="3">
        <f>F49-F50</f>
        <v>72.284999999999968</v>
      </c>
      <c r="G51" s="3">
        <f t="shared" ref="G51:J51" si="72">G49-G50</f>
        <v>88.284999999999968</v>
      </c>
      <c r="H51" s="3">
        <f t="shared" si="72"/>
        <v>104.28499999999997</v>
      </c>
      <c r="I51" s="3">
        <f t="shared" si="72"/>
        <v>120.28499999999974</v>
      </c>
      <c r="J51" s="3">
        <f t="shared" si="72"/>
        <v>136.28499999999974</v>
      </c>
      <c r="K51" s="3">
        <f t="shared" ref="K51" si="73">K49-K50</f>
        <v>152.28499999999974</v>
      </c>
      <c r="L51" s="3">
        <f t="shared" ref="L51" si="74">L49-L50</f>
        <v>168.28499999999974</v>
      </c>
      <c r="M51" s="3">
        <f t="shared" ref="M51" si="75">M49-M50</f>
        <v>184.28499999999951</v>
      </c>
      <c r="N51" s="3">
        <f t="shared" ref="N51:O51" si="76">N49-N50</f>
        <v>200.28499999999951</v>
      </c>
      <c r="O51" s="3">
        <f t="shared" si="76"/>
        <v>216.28499999999951</v>
      </c>
      <c r="Q51" s="3">
        <f t="shared" si="65"/>
        <v>144.28499999999971</v>
      </c>
      <c r="R51" s="3">
        <f t="shared" si="66"/>
        <v>48.442405665559768</v>
      </c>
    </row>
    <row r="52" spans="2:18" x14ac:dyDescent="0.25">
      <c r="Q52" s="3"/>
      <c r="R52" s="3"/>
    </row>
    <row r="53" spans="2:18" x14ac:dyDescent="0.25">
      <c r="C53" t="s">
        <v>92</v>
      </c>
      <c r="F53" s="3">
        <f>F51+'Long-Run Projections'!G84</f>
        <v>327.28499999999997</v>
      </c>
      <c r="G53" s="3">
        <f>G51+'Long-Run Projections'!H84</f>
        <v>343.28499999999997</v>
      </c>
      <c r="H53" s="3">
        <f>H51+'Long-Run Projections'!I84</f>
        <v>359.28499999999997</v>
      </c>
      <c r="I53" s="3">
        <f>I51+'Long-Run Projections'!J84</f>
        <v>375.28499999999974</v>
      </c>
      <c r="J53" s="3">
        <f>J51+'Long-Run Projections'!K84</f>
        <v>391.28499999999974</v>
      </c>
      <c r="K53" s="3">
        <f>K51+'Long-Run Projections'!L84</f>
        <v>407.28499999999974</v>
      </c>
      <c r="L53" s="3">
        <f>L51+'Long-Run Projections'!M84</f>
        <v>423.28499999999974</v>
      </c>
      <c r="M53" s="3">
        <f>M51+'Long-Run Projections'!N84</f>
        <v>439.28499999999951</v>
      </c>
      <c r="N53" s="3">
        <f>N51+'Long-Run Projections'!O84</f>
        <v>455.28499999999951</v>
      </c>
      <c r="O53" s="3">
        <f>O51+'Long-Run Projections'!P84</f>
        <v>471.28499999999951</v>
      </c>
      <c r="Q53" s="3">
        <f t="shared" ref="Q53" si="77">AVERAGE(F53:O53)</f>
        <v>399.28499999999974</v>
      </c>
      <c r="R53" s="3">
        <f t="shared" ref="R53" si="78">STDEV(F53:O53)</f>
        <v>48.442405665559335</v>
      </c>
    </row>
    <row r="55" spans="2:18" x14ac:dyDescent="0.25">
      <c r="B55" t="s">
        <v>121</v>
      </c>
    </row>
    <row r="57" spans="2:18" x14ac:dyDescent="0.25">
      <c r="C57" t="s">
        <v>83</v>
      </c>
      <c r="F57" s="3">
        <f>('Long-Run Projections'!G12*'Long-Run Projections'!G28)+('Long-Run Projections'!G43)</f>
        <v>1295.7900000000002</v>
      </c>
      <c r="G57" s="3">
        <f>('Long-Run Projections'!H12*'Long-Run Projections'!H28)+('Long-Run Projections'!H43)</f>
        <v>1217.6400000000001</v>
      </c>
      <c r="H57" s="3">
        <f>('Long-Run Projections'!I12*'Long-Run Projections'!I28)+('Long-Run Projections'!I43)</f>
        <v>1228.9650000000001</v>
      </c>
      <c r="I57" s="3">
        <f>('Long-Run Projections'!J12*'Long-Run Projections'!J28)+('Long-Run Projections'!J43)</f>
        <v>1240.29</v>
      </c>
      <c r="J57" s="3">
        <f>('Long-Run Projections'!K12*'Long-Run Projections'!K28)+('Long-Run Projections'!K43)</f>
        <v>1251.615</v>
      </c>
      <c r="K57" s="3">
        <f>('Long-Run Projections'!L12*'Long-Run Projections'!L28)+('Long-Run Projections'!L43)</f>
        <v>1262.94</v>
      </c>
      <c r="L57" s="3">
        <f>('Long-Run Projections'!M12*'Long-Run Projections'!M28)+('Long-Run Projections'!M43)</f>
        <v>1274.2650000000001</v>
      </c>
      <c r="M57" s="3">
        <f>('Long-Run Projections'!N12*'Long-Run Projections'!N28)+('Long-Run Projections'!N43)</f>
        <v>1285.5900000000001</v>
      </c>
      <c r="N57" s="3">
        <f>('Long-Run Projections'!O12*'Long-Run Projections'!O28)+('Long-Run Projections'!O43)</f>
        <v>1296.915</v>
      </c>
      <c r="O57" s="3">
        <f>('Long-Run Projections'!P12*'Long-Run Projections'!P28)+('Long-Run Projections'!P43)</f>
        <v>1308.24</v>
      </c>
      <c r="Q57" s="3">
        <f t="shared" ref="Q57" si="79">AVERAGE(F57:O57)</f>
        <v>1266.2249999999999</v>
      </c>
      <c r="R57" s="3">
        <f t="shared" ref="R57" si="80">STDEV(F57:O57)</f>
        <v>31.031431645994026</v>
      </c>
    </row>
    <row r="58" spans="2:18" x14ac:dyDescent="0.25">
      <c r="C58" t="s">
        <v>85</v>
      </c>
      <c r="F58" s="3">
        <f>'Long-Run Projections'!G57</f>
        <v>559.42064500000004</v>
      </c>
      <c r="G58" s="3">
        <f>'Long-Run Projections'!H57</f>
        <v>559.42064500000004</v>
      </c>
      <c r="H58" s="3">
        <f>'Long-Run Projections'!I57</f>
        <v>559.42064500000004</v>
      </c>
      <c r="I58" s="3">
        <f>'Long-Run Projections'!J57</f>
        <v>559.42064500000004</v>
      </c>
      <c r="J58" s="3">
        <f>'Long-Run Projections'!K57</f>
        <v>559.42064500000004</v>
      </c>
      <c r="K58" s="3">
        <f>'Long-Run Projections'!L57</f>
        <v>559.42064500000004</v>
      </c>
      <c r="L58" s="3">
        <f>'Long-Run Projections'!M57</f>
        <v>559.42064500000004</v>
      </c>
      <c r="M58" s="3">
        <f>'Long-Run Projections'!N57</f>
        <v>559.42064500000004</v>
      </c>
      <c r="N58" s="3">
        <f>'Long-Run Projections'!O57</f>
        <v>559.42064500000004</v>
      </c>
      <c r="O58" s="3">
        <f>'Long-Run Projections'!P57</f>
        <v>559.42064500000004</v>
      </c>
      <c r="Q58" s="3">
        <f t="shared" ref="Q58:Q61" si="81">AVERAGE(F58:O58)</f>
        <v>559.42064500000004</v>
      </c>
      <c r="R58" s="3">
        <f t="shared" ref="R58:R61" si="82">STDEV(F58:O58)</f>
        <v>0</v>
      </c>
    </row>
    <row r="59" spans="2:18" x14ac:dyDescent="0.25">
      <c r="C59" t="s">
        <v>49</v>
      </c>
      <c r="F59" s="3">
        <f>F57-F58</f>
        <v>736.36935500000016</v>
      </c>
      <c r="G59" s="3">
        <f t="shared" ref="G59:J59" si="83">G57-G58</f>
        <v>658.21935500000006</v>
      </c>
      <c r="H59" s="3">
        <f t="shared" si="83"/>
        <v>669.54435500000011</v>
      </c>
      <c r="I59" s="3">
        <f t="shared" si="83"/>
        <v>680.86935499999993</v>
      </c>
      <c r="J59" s="3">
        <f t="shared" si="83"/>
        <v>692.19435499999997</v>
      </c>
      <c r="K59" s="3">
        <f t="shared" ref="K59" si="84">K57-K58</f>
        <v>703.51935500000002</v>
      </c>
      <c r="L59" s="3">
        <f t="shared" ref="L59" si="85">L57-L58</f>
        <v>714.84435500000006</v>
      </c>
      <c r="M59" s="3">
        <f t="shared" ref="M59" si="86">M57-M58</f>
        <v>726.16935500000011</v>
      </c>
      <c r="N59" s="3">
        <f t="shared" ref="N59" si="87">N57-N58</f>
        <v>737.49435499999993</v>
      </c>
      <c r="O59" s="3">
        <f t="shared" ref="O59" si="88">O57-O58</f>
        <v>748.81935499999997</v>
      </c>
      <c r="Q59" s="3">
        <f t="shared" si="81"/>
        <v>706.80435499999999</v>
      </c>
      <c r="R59" s="3">
        <f t="shared" si="82"/>
        <v>31.031431645994029</v>
      </c>
    </row>
    <row r="60" spans="2:18" x14ac:dyDescent="0.25">
      <c r="C60" t="s">
        <v>86</v>
      </c>
      <c r="F60" s="3">
        <f>'Long-Run Projections'!G71+'Long-Run Projections'!G85</f>
        <v>506.74</v>
      </c>
      <c r="G60" s="3">
        <f>'Long-Run Projections'!H71+'Long-Run Projections'!H85</f>
        <v>506.74</v>
      </c>
      <c r="H60" s="3">
        <f>'Long-Run Projections'!I71+'Long-Run Projections'!I85</f>
        <v>506.74</v>
      </c>
      <c r="I60" s="3">
        <f>'Long-Run Projections'!J71+'Long-Run Projections'!J85</f>
        <v>506.74</v>
      </c>
      <c r="J60" s="3">
        <f>'Long-Run Projections'!K71+'Long-Run Projections'!K85</f>
        <v>506.74</v>
      </c>
      <c r="K60" s="3">
        <f>'Long-Run Projections'!L71+'Long-Run Projections'!L85</f>
        <v>506.74</v>
      </c>
      <c r="L60" s="3">
        <f>'Long-Run Projections'!M71+'Long-Run Projections'!M85</f>
        <v>506.74</v>
      </c>
      <c r="M60" s="3">
        <f>'Long-Run Projections'!N71+'Long-Run Projections'!N85</f>
        <v>506.74</v>
      </c>
      <c r="N60" s="3">
        <f>'Long-Run Projections'!O71+'Long-Run Projections'!O85</f>
        <v>506.74</v>
      </c>
      <c r="O60" s="3">
        <f>'Long-Run Projections'!P71+'Long-Run Projections'!P85</f>
        <v>506.74</v>
      </c>
      <c r="Q60" s="3">
        <f t="shared" si="81"/>
        <v>506.7399999999999</v>
      </c>
      <c r="R60" s="3">
        <f t="shared" si="82"/>
        <v>1.198364490607514E-13</v>
      </c>
    </row>
    <row r="61" spans="2:18" x14ac:dyDescent="0.25">
      <c r="C61" t="s">
        <v>50</v>
      </c>
      <c r="F61" s="3">
        <f>F59-F60</f>
        <v>229.62935500000015</v>
      </c>
      <c r="G61" s="3">
        <f t="shared" ref="G61:J61" si="89">G59-G60</f>
        <v>151.47935500000006</v>
      </c>
      <c r="H61" s="3">
        <f t="shared" si="89"/>
        <v>162.8043550000001</v>
      </c>
      <c r="I61" s="3">
        <f t="shared" si="89"/>
        <v>174.12935499999992</v>
      </c>
      <c r="J61" s="3">
        <f t="shared" si="89"/>
        <v>185.45435499999996</v>
      </c>
      <c r="K61" s="3">
        <f t="shared" ref="K61" si="90">K59-K60</f>
        <v>196.77935500000001</v>
      </c>
      <c r="L61" s="3">
        <f t="shared" ref="L61" si="91">L59-L60</f>
        <v>208.10435500000006</v>
      </c>
      <c r="M61" s="3">
        <f t="shared" ref="M61" si="92">M59-M60</f>
        <v>219.4293550000001</v>
      </c>
      <c r="N61" s="3">
        <f t="shared" ref="N61" si="93">N59-N60</f>
        <v>230.75435499999992</v>
      </c>
      <c r="O61" s="3">
        <f t="shared" ref="O61" si="94">O59-O60</f>
        <v>242.07935499999996</v>
      </c>
      <c r="Q61" s="3">
        <f t="shared" si="81"/>
        <v>200.06435500000003</v>
      </c>
      <c r="R61" s="3">
        <f t="shared" si="82"/>
        <v>31.031431645994083</v>
      </c>
    </row>
    <row r="62" spans="2:18" x14ac:dyDescent="0.25">
      <c r="F62" s="3"/>
      <c r="G62" s="3"/>
      <c r="H62" s="3"/>
      <c r="I62" s="3"/>
      <c r="J62" s="3"/>
      <c r="K62" s="3"/>
      <c r="L62" s="3"/>
      <c r="M62" s="3"/>
      <c r="N62" s="3"/>
      <c r="O62" s="3"/>
      <c r="Q62" s="3"/>
      <c r="R62" s="3"/>
    </row>
    <row r="63" spans="2:18" x14ac:dyDescent="0.25">
      <c r="C63" t="s">
        <v>92</v>
      </c>
      <c r="F63" s="3">
        <f>F61+'Long-Run Projections'!G85</f>
        <v>484.62935500000015</v>
      </c>
      <c r="G63" s="3">
        <f>G61+'Long-Run Projections'!H85</f>
        <v>406.47935500000006</v>
      </c>
      <c r="H63" s="3">
        <f>H61+'Long-Run Projections'!I85</f>
        <v>417.8043550000001</v>
      </c>
      <c r="I63" s="3">
        <f>I61+'Long-Run Projections'!J85</f>
        <v>429.12935499999992</v>
      </c>
      <c r="J63" s="3">
        <f>J61+'Long-Run Projections'!K85</f>
        <v>440.45435499999996</v>
      </c>
      <c r="K63" s="3">
        <f>K61+'Long-Run Projections'!L85</f>
        <v>451.77935500000001</v>
      </c>
      <c r="L63" s="3">
        <f>L61+'Long-Run Projections'!M85</f>
        <v>463.10435500000006</v>
      </c>
      <c r="M63" s="3">
        <f>M61+'Long-Run Projections'!N85</f>
        <v>474.4293550000001</v>
      </c>
      <c r="N63" s="3">
        <f>N61+'Long-Run Projections'!O85</f>
        <v>485.75435499999992</v>
      </c>
      <c r="O63" s="3">
        <f>O61+'Long-Run Projections'!P85</f>
        <v>497.07935499999996</v>
      </c>
      <c r="Q63" s="3">
        <f t="shared" ref="Q63" si="95">AVERAGE(F63:O63)</f>
        <v>455.06435500000009</v>
      </c>
      <c r="R63" s="3">
        <f t="shared" ref="R63" si="96">STDEV(F63:O63)</f>
        <v>31.031431645994029</v>
      </c>
    </row>
    <row r="65" spans="2:18" x14ac:dyDescent="0.25">
      <c r="B65" t="s">
        <v>122</v>
      </c>
    </row>
    <row r="67" spans="2:18" x14ac:dyDescent="0.25">
      <c r="C67" t="s">
        <v>83</v>
      </c>
      <c r="F67" s="3">
        <f>('Long-Run Projections'!G13*'Long-Run Projections'!G29)+('Long-Run Projections'!G44)</f>
        <v>1185.5550000000001</v>
      </c>
      <c r="G67" s="3">
        <f>('Long-Run Projections'!H13*'Long-Run Projections'!H29)+('Long-Run Projections'!H44)</f>
        <v>1090.7275</v>
      </c>
      <c r="H67" s="3">
        <f>('Long-Run Projections'!I13*'Long-Run Projections'!I29)+('Long-Run Projections'!I44)</f>
        <v>1098.55</v>
      </c>
      <c r="I67" s="3">
        <f>('Long-Run Projections'!J13*'Long-Run Projections'!J29)+('Long-Run Projections'!J44)</f>
        <v>1106.3724999999999</v>
      </c>
      <c r="J67" s="3">
        <f>('Long-Run Projections'!K13*'Long-Run Projections'!K29)+('Long-Run Projections'!K44)</f>
        <v>1114.1949999999999</v>
      </c>
      <c r="K67" s="3">
        <f>('Long-Run Projections'!L13*'Long-Run Projections'!L29)+('Long-Run Projections'!L44)</f>
        <v>1122.0175000000002</v>
      </c>
      <c r="L67" s="3">
        <f>('Long-Run Projections'!M13*'Long-Run Projections'!M29)+('Long-Run Projections'!M44)</f>
        <v>1129.8400000000001</v>
      </c>
      <c r="M67" s="3">
        <f>('Long-Run Projections'!N13*'Long-Run Projections'!N29)+('Long-Run Projections'!N44)</f>
        <v>1137.6625000000001</v>
      </c>
      <c r="N67" s="3">
        <f>('Long-Run Projections'!O13*'Long-Run Projections'!O29)+('Long-Run Projections'!O44)</f>
        <v>1145.4850000000001</v>
      </c>
      <c r="O67" s="3">
        <f>('Long-Run Projections'!P13*'Long-Run Projections'!P29)+('Long-Run Projections'!P44)</f>
        <v>1153.3075000000001</v>
      </c>
      <c r="Q67" s="3">
        <f t="shared" ref="Q67:Q71" si="97">AVERAGE(F67:O67)</f>
        <v>1128.3712500000001</v>
      </c>
      <c r="R67" s="3">
        <f t="shared" ref="R67:R71" si="98">STDEV(F67:O67)</f>
        <v>28.489379874349726</v>
      </c>
    </row>
    <row r="68" spans="2:18" x14ac:dyDescent="0.25">
      <c r="C68" t="s">
        <v>85</v>
      </c>
      <c r="F68" s="3">
        <f>'Long-Run Projections'!G58</f>
        <v>304.705645</v>
      </c>
      <c r="G68" s="3">
        <f>'Long-Run Projections'!H58</f>
        <v>304.705645</v>
      </c>
      <c r="H68" s="3">
        <f>'Long-Run Projections'!I58</f>
        <v>304.705645</v>
      </c>
      <c r="I68" s="3">
        <f>'Long-Run Projections'!J58</f>
        <v>304.705645</v>
      </c>
      <c r="J68" s="3">
        <f>'Long-Run Projections'!K58</f>
        <v>304.705645</v>
      </c>
      <c r="K68" s="3">
        <f>'Long-Run Projections'!L58</f>
        <v>304.705645</v>
      </c>
      <c r="L68" s="3">
        <f>'Long-Run Projections'!M58</f>
        <v>304.705645</v>
      </c>
      <c r="M68" s="3">
        <f>'Long-Run Projections'!N58</f>
        <v>304.705645</v>
      </c>
      <c r="N68" s="3">
        <f>'Long-Run Projections'!O58</f>
        <v>304.705645</v>
      </c>
      <c r="O68" s="3">
        <f>'Long-Run Projections'!P58</f>
        <v>304.705645</v>
      </c>
      <c r="Q68" s="3">
        <f t="shared" si="97"/>
        <v>304.705645</v>
      </c>
      <c r="R68" s="3">
        <f t="shared" si="98"/>
        <v>0</v>
      </c>
    </row>
    <row r="69" spans="2:18" x14ac:dyDescent="0.25">
      <c r="C69" t="s">
        <v>49</v>
      </c>
      <c r="F69" s="3">
        <f>F67-F68</f>
        <v>880.84935500000006</v>
      </c>
      <c r="G69" s="3">
        <f t="shared" ref="G69:J69" si="99">G67-G68</f>
        <v>786.02185499999996</v>
      </c>
      <c r="H69" s="3">
        <f t="shared" si="99"/>
        <v>793.84435499999995</v>
      </c>
      <c r="I69" s="3">
        <f t="shared" si="99"/>
        <v>801.66685499999994</v>
      </c>
      <c r="J69" s="3">
        <f t="shared" si="99"/>
        <v>809.48935499999993</v>
      </c>
      <c r="K69" s="3">
        <f t="shared" ref="K69" si="100">K67-K68</f>
        <v>817.31185500000015</v>
      </c>
      <c r="L69" s="3">
        <f t="shared" ref="L69" si="101">L67-L68</f>
        <v>825.13435500000014</v>
      </c>
      <c r="M69" s="3">
        <f t="shared" ref="M69" si="102">M67-M68</f>
        <v>832.95685500000013</v>
      </c>
      <c r="N69" s="3">
        <f t="shared" ref="N69:O69" si="103">N67-N68</f>
        <v>840.77935500000012</v>
      </c>
      <c r="O69" s="3">
        <f t="shared" si="103"/>
        <v>848.60185500000011</v>
      </c>
      <c r="Q69" s="3">
        <f t="shared" si="97"/>
        <v>823.66560500000014</v>
      </c>
      <c r="R69" s="3">
        <f t="shared" si="98"/>
        <v>28.489379874349726</v>
      </c>
    </row>
    <row r="70" spans="2:18" x14ac:dyDescent="0.25">
      <c r="C70" t="s">
        <v>86</v>
      </c>
      <c r="F70" s="3">
        <f>'Long-Run Projections'!G72+'Long-Run Projections'!G86</f>
        <v>450.53999999999996</v>
      </c>
      <c r="G70" s="3">
        <f>'Long-Run Projections'!H72+'Long-Run Projections'!H86</f>
        <v>450.53999999999996</v>
      </c>
      <c r="H70" s="3">
        <f>'Long-Run Projections'!I72+'Long-Run Projections'!I86</f>
        <v>450.53999999999996</v>
      </c>
      <c r="I70" s="3">
        <f>'Long-Run Projections'!J72+'Long-Run Projections'!J86</f>
        <v>450.53999999999996</v>
      </c>
      <c r="J70" s="3">
        <f>'Long-Run Projections'!K72+'Long-Run Projections'!K86</f>
        <v>450.53999999999996</v>
      </c>
      <c r="K70" s="3">
        <f>'Long-Run Projections'!L72+'Long-Run Projections'!L86</f>
        <v>450.53999999999996</v>
      </c>
      <c r="L70" s="3">
        <f>'Long-Run Projections'!M72+'Long-Run Projections'!M86</f>
        <v>450.53999999999996</v>
      </c>
      <c r="M70" s="3">
        <f>'Long-Run Projections'!N72+'Long-Run Projections'!N86</f>
        <v>450.53999999999996</v>
      </c>
      <c r="N70" s="3">
        <f>'Long-Run Projections'!O72+'Long-Run Projections'!O86</f>
        <v>450.53999999999996</v>
      </c>
      <c r="O70" s="3">
        <f>'Long-Run Projections'!P72+'Long-Run Projections'!P86</f>
        <v>450.53999999999996</v>
      </c>
      <c r="Q70" s="3">
        <f t="shared" si="97"/>
        <v>450.53999999999996</v>
      </c>
      <c r="R70" s="3">
        <f t="shared" si="98"/>
        <v>0</v>
      </c>
    </row>
    <row r="71" spans="2:18" x14ac:dyDescent="0.25">
      <c r="C71" t="s">
        <v>50</v>
      </c>
      <c r="F71" s="3">
        <f>F69-F70</f>
        <v>430.3093550000001</v>
      </c>
      <c r="G71" s="3">
        <f t="shared" ref="G71:J71" si="104">G69-G70</f>
        <v>335.481855</v>
      </c>
      <c r="H71" s="3">
        <f t="shared" si="104"/>
        <v>343.30435499999999</v>
      </c>
      <c r="I71" s="3">
        <f t="shared" si="104"/>
        <v>351.12685499999998</v>
      </c>
      <c r="J71" s="3">
        <f t="shared" si="104"/>
        <v>358.94935499999997</v>
      </c>
      <c r="K71" s="3">
        <f t="shared" ref="K71" si="105">K69-K70</f>
        <v>366.77185500000019</v>
      </c>
      <c r="L71" s="3">
        <f t="shared" ref="L71" si="106">L69-L70</f>
        <v>374.59435500000018</v>
      </c>
      <c r="M71" s="3">
        <f t="shared" ref="M71" si="107">M69-M70</f>
        <v>382.41685500000017</v>
      </c>
      <c r="N71" s="3">
        <f t="shared" ref="N71:O71" si="108">N69-N70</f>
        <v>390.23935500000016</v>
      </c>
      <c r="O71" s="3">
        <f t="shared" si="108"/>
        <v>398.06185500000015</v>
      </c>
      <c r="Q71" s="3">
        <f t="shared" si="97"/>
        <v>373.12560500000006</v>
      </c>
      <c r="R71" s="3">
        <f t="shared" si="98"/>
        <v>28.489379874349723</v>
      </c>
    </row>
    <row r="72" spans="2:18" x14ac:dyDescent="0.25">
      <c r="F72" s="3"/>
      <c r="G72" s="3"/>
      <c r="H72" s="3"/>
      <c r="I72" s="3"/>
      <c r="J72" s="3"/>
      <c r="K72" s="3"/>
      <c r="L72" s="3"/>
      <c r="M72" s="3"/>
      <c r="N72" s="3"/>
      <c r="O72" s="3"/>
      <c r="Q72" s="3"/>
      <c r="R72" s="3"/>
    </row>
    <row r="73" spans="2:18" x14ac:dyDescent="0.25">
      <c r="C73" t="s">
        <v>92</v>
      </c>
      <c r="F73" s="3">
        <f>F71+'Long-Run Projections'!G86</f>
        <v>685.3093550000001</v>
      </c>
      <c r="G73" s="3">
        <f>G71+'Long-Run Projections'!H86</f>
        <v>590.481855</v>
      </c>
      <c r="H73" s="3">
        <f>H71+'Long-Run Projections'!I86</f>
        <v>598.30435499999999</v>
      </c>
      <c r="I73" s="3">
        <f>I71+'Long-Run Projections'!J86</f>
        <v>606.12685499999998</v>
      </c>
      <c r="J73" s="3">
        <f>J71+'Long-Run Projections'!K86</f>
        <v>613.94935499999997</v>
      </c>
      <c r="K73" s="3">
        <f>K71+'Long-Run Projections'!L86</f>
        <v>621.77185500000019</v>
      </c>
      <c r="L73" s="3">
        <f>L71+'Long-Run Projections'!M86</f>
        <v>629.59435500000018</v>
      </c>
      <c r="M73" s="3">
        <f>M71+'Long-Run Projections'!N86</f>
        <v>637.41685500000017</v>
      </c>
      <c r="N73" s="3">
        <f>N71+'Long-Run Projections'!O86</f>
        <v>645.23935500000016</v>
      </c>
      <c r="O73" s="3">
        <f>O71+'Long-Run Projections'!P86</f>
        <v>653.06185500000015</v>
      </c>
      <c r="Q73" s="3">
        <f t="shared" ref="Q73" si="109">AVERAGE(F73:O73)</f>
        <v>628.12560499999995</v>
      </c>
      <c r="R73" s="3">
        <f t="shared" ref="R73" si="110">STDEV(F73:O73)</f>
        <v>28.489379874349726</v>
      </c>
    </row>
    <row r="75" spans="2:18" x14ac:dyDescent="0.25">
      <c r="B75" t="s">
        <v>123</v>
      </c>
    </row>
    <row r="77" spans="2:18" x14ac:dyDescent="0.25">
      <c r="C77" t="s">
        <v>83</v>
      </c>
      <c r="F77" s="3">
        <f>('Long-Run Projections'!G14*'Long-Run Projections'!G30)+('Long-Run Projections'!G15*'Long-Run Projections'!G31)+('Long-Run Projections'!G45)</f>
        <v>549</v>
      </c>
      <c r="G77" s="3">
        <f>('Long-Run Projections'!H14*'Long-Run Projections'!H30)+('Long-Run Projections'!H15*'Long-Run Projections'!H31)+('Long-Run Projections'!H45)</f>
        <v>540.97749999999996</v>
      </c>
      <c r="H77" s="3">
        <f>('Long-Run Projections'!I14*'Long-Run Projections'!I30)+('Long-Run Projections'!I15*'Long-Run Projections'!I31)+('Long-Run Projections'!I45)</f>
        <v>542.95500000000004</v>
      </c>
      <c r="I77" s="3">
        <f>('Long-Run Projections'!J14*'Long-Run Projections'!J30)+('Long-Run Projections'!J15*'Long-Run Projections'!J31)+('Long-Run Projections'!J45)</f>
        <v>544.93250000000012</v>
      </c>
      <c r="J77" s="3">
        <f>('Long-Run Projections'!K14*'Long-Run Projections'!K30)+('Long-Run Projections'!K15*'Long-Run Projections'!K31)+('Long-Run Projections'!K45)</f>
        <v>546.91000000000008</v>
      </c>
      <c r="K77" s="3">
        <f>('Long-Run Projections'!L14*'Long-Run Projections'!L30)+('Long-Run Projections'!L15*'Long-Run Projections'!L31)+('Long-Run Projections'!L45)</f>
        <v>548.88750000000005</v>
      </c>
      <c r="L77" s="3">
        <f>('Long-Run Projections'!M14*'Long-Run Projections'!M30)+('Long-Run Projections'!M15*'Long-Run Projections'!M31)+('Long-Run Projections'!M45)</f>
        <v>550.86500000000001</v>
      </c>
      <c r="M77" s="3">
        <f>('Long-Run Projections'!N14*'Long-Run Projections'!N30)+('Long-Run Projections'!N15*'Long-Run Projections'!N31)+('Long-Run Projections'!N45)</f>
        <v>552.84250000000009</v>
      </c>
      <c r="N77" s="3">
        <f>('Long-Run Projections'!O14*'Long-Run Projections'!O30)+('Long-Run Projections'!O15*'Long-Run Projections'!O31)+('Long-Run Projections'!O45)</f>
        <v>554.82000000000016</v>
      </c>
      <c r="O77" s="3">
        <f>('Long-Run Projections'!P14*'Long-Run Projections'!P30)+('Long-Run Projections'!P15*'Long-Run Projections'!P31)+('Long-Run Projections'!P45)</f>
        <v>556.79750000000013</v>
      </c>
      <c r="Q77" s="3">
        <f t="shared" ref="Q77:Q81" si="111">AVERAGE(F77:O77)</f>
        <v>548.89874999999995</v>
      </c>
      <c r="R77" s="3">
        <f t="shared" ref="R77:R81" si="112">STDEV(F77:O77)</f>
        <v>5.1060069811612143</v>
      </c>
    </row>
    <row r="78" spans="2:18" x14ac:dyDescent="0.25">
      <c r="C78" t="s">
        <v>85</v>
      </c>
      <c r="F78" s="3">
        <f>'Long-Run Projections'!G59</f>
        <v>173.10250000000002</v>
      </c>
      <c r="G78" s="3">
        <f>'Long-Run Projections'!H59</f>
        <v>173.10250000000002</v>
      </c>
      <c r="H78" s="3">
        <f>'Long-Run Projections'!I59</f>
        <v>173.10250000000002</v>
      </c>
      <c r="I78" s="3">
        <f>'Long-Run Projections'!J59</f>
        <v>173.10250000000002</v>
      </c>
      <c r="J78" s="3">
        <f>'Long-Run Projections'!K59</f>
        <v>173.10250000000002</v>
      </c>
      <c r="K78" s="3">
        <f>'Long-Run Projections'!L59</f>
        <v>173.10250000000002</v>
      </c>
      <c r="L78" s="3">
        <f>'Long-Run Projections'!M59</f>
        <v>173.10250000000002</v>
      </c>
      <c r="M78" s="3">
        <f>'Long-Run Projections'!N59</f>
        <v>173.10250000000002</v>
      </c>
      <c r="N78" s="3">
        <f>'Long-Run Projections'!O59</f>
        <v>173.10250000000002</v>
      </c>
      <c r="O78" s="3">
        <f>'Long-Run Projections'!P59</f>
        <v>173.10250000000002</v>
      </c>
      <c r="Q78" s="3">
        <f t="shared" si="111"/>
        <v>173.10249999999999</v>
      </c>
      <c r="R78" s="3">
        <f t="shared" si="112"/>
        <v>2.995911226518785E-14</v>
      </c>
    </row>
    <row r="79" spans="2:18" x14ac:dyDescent="0.25">
      <c r="C79" t="s">
        <v>49</v>
      </c>
      <c r="F79" s="3">
        <f>F77-F78</f>
        <v>375.89749999999998</v>
      </c>
      <c r="G79" s="3">
        <f t="shared" ref="G79:J79" si="113">G77-G78</f>
        <v>367.87499999999994</v>
      </c>
      <c r="H79" s="3">
        <f t="shared" si="113"/>
        <v>369.85250000000002</v>
      </c>
      <c r="I79" s="3">
        <f t="shared" si="113"/>
        <v>371.8300000000001</v>
      </c>
      <c r="J79" s="3">
        <f t="shared" si="113"/>
        <v>373.80750000000006</v>
      </c>
      <c r="K79" s="3">
        <f t="shared" ref="K79" si="114">K77-K78</f>
        <v>375.78500000000003</v>
      </c>
      <c r="L79" s="3">
        <f t="shared" ref="L79" si="115">L77-L78</f>
        <v>377.76249999999999</v>
      </c>
      <c r="M79" s="3">
        <f t="shared" ref="M79" si="116">M77-M78</f>
        <v>379.74000000000007</v>
      </c>
      <c r="N79" s="3">
        <f t="shared" ref="N79" si="117">N77-N78</f>
        <v>381.71750000000014</v>
      </c>
      <c r="O79" s="3">
        <f t="shared" ref="O79" si="118">O77-O78</f>
        <v>383.69500000000011</v>
      </c>
      <c r="Q79" s="3">
        <f t="shared" si="111"/>
        <v>375.79625000000004</v>
      </c>
      <c r="R79" s="3">
        <f t="shared" si="112"/>
        <v>5.1060069811612143</v>
      </c>
    </row>
    <row r="80" spans="2:18" x14ac:dyDescent="0.25">
      <c r="C80" t="s">
        <v>86</v>
      </c>
      <c r="F80" s="3">
        <f>'Long-Run Projections'!G73+'Long-Run Projections'!G87</f>
        <v>427.97</v>
      </c>
      <c r="G80" s="3">
        <f>'Long-Run Projections'!H73+'Long-Run Projections'!H87</f>
        <v>427.97</v>
      </c>
      <c r="H80" s="3">
        <f>'Long-Run Projections'!I73+'Long-Run Projections'!I87</f>
        <v>427.97</v>
      </c>
      <c r="I80" s="3">
        <f>'Long-Run Projections'!J73+'Long-Run Projections'!J87</f>
        <v>427.97</v>
      </c>
      <c r="J80" s="3">
        <f>'Long-Run Projections'!K73+'Long-Run Projections'!K87</f>
        <v>427.97</v>
      </c>
      <c r="K80" s="3">
        <f>'Long-Run Projections'!L73+'Long-Run Projections'!L87</f>
        <v>427.97</v>
      </c>
      <c r="L80" s="3">
        <f>'Long-Run Projections'!M73+'Long-Run Projections'!M87</f>
        <v>427.97</v>
      </c>
      <c r="M80" s="3">
        <f>'Long-Run Projections'!N73+'Long-Run Projections'!N87</f>
        <v>427.97</v>
      </c>
      <c r="N80" s="3">
        <f>'Long-Run Projections'!O73+'Long-Run Projections'!O87</f>
        <v>427.97</v>
      </c>
      <c r="O80" s="3">
        <f>'Long-Run Projections'!P73+'Long-Run Projections'!P87</f>
        <v>427.97</v>
      </c>
      <c r="Q80" s="3">
        <f t="shared" si="111"/>
        <v>427.97000000000014</v>
      </c>
      <c r="R80" s="3">
        <f t="shared" si="112"/>
        <v>1.198364490607514E-13</v>
      </c>
    </row>
    <row r="81" spans="1:19" x14ac:dyDescent="0.25">
      <c r="C81" t="s">
        <v>50</v>
      </c>
      <c r="F81" s="3">
        <f>F79-F80</f>
        <v>-52.072500000000048</v>
      </c>
      <c r="G81" s="3">
        <f t="shared" ref="G81:J81" si="119">G79-G80</f>
        <v>-60.095000000000084</v>
      </c>
      <c r="H81" s="3">
        <f t="shared" si="119"/>
        <v>-58.117500000000007</v>
      </c>
      <c r="I81" s="3">
        <f t="shared" si="119"/>
        <v>-56.13999999999993</v>
      </c>
      <c r="J81" s="3">
        <f t="shared" si="119"/>
        <v>-54.162499999999966</v>
      </c>
      <c r="K81" s="3">
        <f t="shared" ref="K81" si="120">K79-K80</f>
        <v>-52.185000000000002</v>
      </c>
      <c r="L81" s="3">
        <f t="shared" ref="L81" si="121">L79-L80</f>
        <v>-50.207500000000039</v>
      </c>
      <c r="M81" s="3">
        <f t="shared" ref="M81" si="122">M79-M80</f>
        <v>-48.229999999999961</v>
      </c>
      <c r="N81" s="3">
        <f t="shared" ref="N81" si="123">N79-N80</f>
        <v>-46.252499999999884</v>
      </c>
      <c r="O81" s="3">
        <f t="shared" ref="O81" si="124">O79-O80</f>
        <v>-44.27499999999992</v>
      </c>
      <c r="Q81" s="3">
        <f t="shared" si="111"/>
        <v>-52.173749999999984</v>
      </c>
      <c r="R81" s="3">
        <f t="shared" si="112"/>
        <v>5.1060069811612143</v>
      </c>
    </row>
    <row r="82" spans="1:19" x14ac:dyDescent="0.25">
      <c r="F82" s="3"/>
      <c r="G82" s="3"/>
      <c r="H82" s="3"/>
      <c r="I82" s="3"/>
      <c r="J82" s="3"/>
      <c r="K82" s="3"/>
      <c r="L82" s="3"/>
      <c r="M82" s="3"/>
      <c r="N82" s="3"/>
      <c r="O82" s="3"/>
      <c r="Q82" s="3"/>
      <c r="R82" s="3"/>
    </row>
    <row r="83" spans="1:19" x14ac:dyDescent="0.25">
      <c r="C83" t="s">
        <v>92</v>
      </c>
      <c r="F83" s="3">
        <f>F81+'Long-Run Projections'!G87</f>
        <v>202.92749999999995</v>
      </c>
      <c r="G83" s="3">
        <f>G81+'Long-Run Projections'!H87</f>
        <v>194.90499999999992</v>
      </c>
      <c r="H83" s="3">
        <f>H81+'Long-Run Projections'!I87</f>
        <v>196.88249999999999</v>
      </c>
      <c r="I83" s="3">
        <f>I81+'Long-Run Projections'!J87</f>
        <v>198.86000000000007</v>
      </c>
      <c r="J83" s="3">
        <f>J81+'Long-Run Projections'!K87</f>
        <v>200.83750000000003</v>
      </c>
      <c r="K83" s="3">
        <f>K81+'Long-Run Projections'!L87</f>
        <v>202.815</v>
      </c>
      <c r="L83" s="3">
        <f>L81+'Long-Run Projections'!M87</f>
        <v>204.79249999999996</v>
      </c>
      <c r="M83" s="3">
        <f>M81+'Long-Run Projections'!N87</f>
        <v>206.77000000000004</v>
      </c>
      <c r="N83" s="3">
        <f>N81+'Long-Run Projections'!O87</f>
        <v>208.74750000000012</v>
      </c>
      <c r="O83" s="3">
        <f>O81+'Long-Run Projections'!P87</f>
        <v>210.72500000000008</v>
      </c>
      <c r="Q83" s="3">
        <f t="shared" ref="Q83" si="125">AVERAGE(F83:O83)</f>
        <v>202.82625000000004</v>
      </c>
      <c r="R83" s="3">
        <f t="shared" ref="R83" si="126">STDEV(F83:O83)</f>
        <v>5.1060069811612143</v>
      </c>
    </row>
    <row r="85" spans="1:19" x14ac:dyDescent="0.25">
      <c r="B85" t="s">
        <v>124</v>
      </c>
    </row>
    <row r="87" spans="1:19" x14ac:dyDescent="0.25">
      <c r="C87" t="s">
        <v>83</v>
      </c>
      <c r="F87" s="3">
        <f>('Long-Run Projections'!G16*'Long-Run Projections'!G32)+('Long-Run Projections'!G46)</f>
        <v>810</v>
      </c>
      <c r="G87" s="3">
        <f>('Long-Run Projections'!H16*'Long-Run Projections'!H32)+('Long-Run Projections'!H46)</f>
        <v>827.99999999999989</v>
      </c>
      <c r="H87" s="3">
        <f>('Long-Run Projections'!I16*'Long-Run Projections'!I32)+('Long-Run Projections'!I46)</f>
        <v>845.99999999999989</v>
      </c>
      <c r="I87" s="3">
        <f>('Long-Run Projections'!J16*'Long-Run Projections'!J32)+('Long-Run Projections'!J46)</f>
        <v>863.99999999999977</v>
      </c>
      <c r="J87" s="3">
        <f>('Long-Run Projections'!K16*'Long-Run Projections'!K32)+('Long-Run Projections'!K46)</f>
        <v>881.99999999999977</v>
      </c>
      <c r="K87" s="3">
        <f>('Long-Run Projections'!L16*'Long-Run Projections'!L32)+('Long-Run Projections'!L46)</f>
        <v>899.99999999999966</v>
      </c>
      <c r="L87" s="3">
        <f>('Long-Run Projections'!M16*'Long-Run Projections'!M32)+('Long-Run Projections'!M46)</f>
        <v>917.99999999999966</v>
      </c>
      <c r="M87" s="3">
        <f>('Long-Run Projections'!N16*'Long-Run Projections'!N32)+('Long-Run Projections'!N46)</f>
        <v>935.99999999999955</v>
      </c>
      <c r="N87" s="3">
        <f>('Long-Run Projections'!O16*'Long-Run Projections'!O32)+('Long-Run Projections'!O46)</f>
        <v>953.99999999999955</v>
      </c>
      <c r="O87" s="3">
        <f>('Long-Run Projections'!P16*'Long-Run Projections'!P32)+('Long-Run Projections'!P46)</f>
        <v>971.99999999999943</v>
      </c>
      <c r="Q87" s="3">
        <f t="shared" ref="Q87:Q91" si="127">AVERAGE(F87:O87)</f>
        <v>891</v>
      </c>
      <c r="R87" s="3">
        <f t="shared" ref="R87:R91" si="128">STDEV(F87:O87)</f>
        <v>54.497706373754674</v>
      </c>
    </row>
    <row r="88" spans="1:19" x14ac:dyDescent="0.25">
      <c r="C88" t="s">
        <v>85</v>
      </c>
      <c r="F88" s="3">
        <f>'Long-Run Projections'!G60</f>
        <v>137.065</v>
      </c>
      <c r="G88" s="3">
        <f>'Long-Run Projections'!H60</f>
        <v>137.065</v>
      </c>
      <c r="H88" s="3">
        <f>'Long-Run Projections'!I60</f>
        <v>137.065</v>
      </c>
      <c r="I88" s="3">
        <f>'Long-Run Projections'!J60</f>
        <v>137.065</v>
      </c>
      <c r="J88" s="3">
        <f>'Long-Run Projections'!K60</f>
        <v>137.065</v>
      </c>
      <c r="K88" s="3">
        <f>'Long-Run Projections'!L60</f>
        <v>137.065</v>
      </c>
      <c r="L88" s="3">
        <f>'Long-Run Projections'!M60</f>
        <v>137.065</v>
      </c>
      <c r="M88" s="3">
        <f>'Long-Run Projections'!N60</f>
        <v>137.065</v>
      </c>
      <c r="N88" s="3">
        <f>'Long-Run Projections'!O60</f>
        <v>137.065</v>
      </c>
      <c r="O88" s="3">
        <f>'Long-Run Projections'!P60</f>
        <v>137.065</v>
      </c>
      <c r="Q88" s="3">
        <f t="shared" si="127"/>
        <v>137.06500000000003</v>
      </c>
      <c r="R88" s="3">
        <f t="shared" si="128"/>
        <v>2.995911226518785E-14</v>
      </c>
    </row>
    <row r="89" spans="1:19" x14ac:dyDescent="0.25">
      <c r="C89" t="s">
        <v>49</v>
      </c>
      <c r="F89" s="3">
        <f>F87-F88</f>
        <v>672.93499999999995</v>
      </c>
      <c r="G89" s="3">
        <f t="shared" ref="G89:J89" si="129">G87-G88</f>
        <v>690.93499999999995</v>
      </c>
      <c r="H89" s="3">
        <f t="shared" si="129"/>
        <v>708.93499999999995</v>
      </c>
      <c r="I89" s="3">
        <f t="shared" si="129"/>
        <v>726.93499999999972</v>
      </c>
      <c r="J89" s="3">
        <f t="shared" si="129"/>
        <v>744.93499999999972</v>
      </c>
      <c r="K89" s="3">
        <f t="shared" ref="K89" si="130">K87-K88</f>
        <v>762.93499999999972</v>
      </c>
      <c r="L89" s="3">
        <f t="shared" ref="L89" si="131">L87-L88</f>
        <v>780.93499999999972</v>
      </c>
      <c r="M89" s="3">
        <f t="shared" ref="M89" si="132">M87-M88</f>
        <v>798.93499999999949</v>
      </c>
      <c r="N89" s="3">
        <f t="shared" ref="N89" si="133">N87-N88</f>
        <v>816.93499999999949</v>
      </c>
      <c r="O89" s="3">
        <f t="shared" ref="O89" si="134">O87-O88</f>
        <v>834.93499999999949</v>
      </c>
      <c r="Q89" s="3">
        <f t="shared" si="127"/>
        <v>753.93499999999972</v>
      </c>
      <c r="R89" s="3">
        <f t="shared" si="128"/>
        <v>54.497706373754674</v>
      </c>
    </row>
    <row r="90" spans="1:19" x14ac:dyDescent="0.25">
      <c r="C90" t="s">
        <v>86</v>
      </c>
      <c r="F90" s="3">
        <f>'Long-Run Projections'!G74+'Long-Run Projections'!G88</f>
        <v>510.65</v>
      </c>
      <c r="G90" s="3">
        <f>'Long-Run Projections'!H74+'Long-Run Projections'!H88</f>
        <v>510.65</v>
      </c>
      <c r="H90" s="3">
        <f>'Long-Run Projections'!I74+'Long-Run Projections'!I88</f>
        <v>510.65</v>
      </c>
      <c r="I90" s="3">
        <f>'Long-Run Projections'!J74+'Long-Run Projections'!J88</f>
        <v>510.65</v>
      </c>
      <c r="J90" s="3">
        <f>'Long-Run Projections'!K74+'Long-Run Projections'!K88</f>
        <v>510.65</v>
      </c>
      <c r="K90" s="3">
        <f>'Long-Run Projections'!L74+'Long-Run Projections'!L88</f>
        <v>510.65</v>
      </c>
      <c r="L90" s="3">
        <f>'Long-Run Projections'!M74+'Long-Run Projections'!M88</f>
        <v>510.65</v>
      </c>
      <c r="M90" s="3">
        <f>'Long-Run Projections'!N74+'Long-Run Projections'!N88</f>
        <v>510.65</v>
      </c>
      <c r="N90" s="3">
        <f>'Long-Run Projections'!O74+'Long-Run Projections'!O88</f>
        <v>510.65</v>
      </c>
      <c r="O90" s="3">
        <f>'Long-Run Projections'!P74+'Long-Run Projections'!P88</f>
        <v>510.65</v>
      </c>
      <c r="Q90" s="3">
        <f t="shared" si="127"/>
        <v>510.65</v>
      </c>
      <c r="R90" s="3">
        <f t="shared" si="128"/>
        <v>0</v>
      </c>
    </row>
    <row r="91" spans="1:19" x14ac:dyDescent="0.25">
      <c r="C91" t="s">
        <v>50</v>
      </c>
      <c r="F91" s="3">
        <f>F89-F90</f>
        <v>162.28499999999997</v>
      </c>
      <c r="G91" s="3">
        <f t="shared" ref="G91:J91" si="135">G89-G90</f>
        <v>180.28499999999997</v>
      </c>
      <c r="H91" s="3">
        <f t="shared" si="135"/>
        <v>198.28499999999997</v>
      </c>
      <c r="I91" s="3">
        <f t="shared" si="135"/>
        <v>216.28499999999974</v>
      </c>
      <c r="J91" s="3">
        <f t="shared" si="135"/>
        <v>234.28499999999974</v>
      </c>
      <c r="K91" s="3">
        <f t="shared" ref="K91" si="136">K89-K90</f>
        <v>252.28499999999974</v>
      </c>
      <c r="L91" s="3">
        <f t="shared" ref="L91" si="137">L89-L90</f>
        <v>270.28499999999974</v>
      </c>
      <c r="M91" s="3">
        <f t="shared" ref="M91" si="138">M89-M90</f>
        <v>288.28499999999951</v>
      </c>
      <c r="N91" s="3">
        <f t="shared" ref="N91" si="139">N89-N90</f>
        <v>306.28499999999951</v>
      </c>
      <c r="O91" s="3">
        <f t="shared" ref="O91" si="140">O89-O90</f>
        <v>324.28499999999951</v>
      </c>
      <c r="Q91" s="3">
        <f t="shared" si="127"/>
        <v>243.28499999999971</v>
      </c>
      <c r="R91" s="3">
        <f t="shared" si="128"/>
        <v>54.497706373754852</v>
      </c>
    </row>
    <row r="92" spans="1:19" x14ac:dyDescent="0.25">
      <c r="F92" s="3"/>
      <c r="G92" s="3"/>
      <c r="H92" s="3"/>
      <c r="I92" s="3"/>
      <c r="J92" s="3"/>
      <c r="K92" s="3"/>
      <c r="L92" s="3"/>
      <c r="M92" s="3"/>
      <c r="N92" s="3"/>
      <c r="O92" s="3"/>
      <c r="Q92" s="3"/>
      <c r="R92" s="3"/>
    </row>
    <row r="93" spans="1:19" x14ac:dyDescent="0.25">
      <c r="C93" t="s">
        <v>92</v>
      </c>
      <c r="F93" s="3">
        <f>F91+'Long-Run Projections'!G88</f>
        <v>417.28499999999997</v>
      </c>
      <c r="G93" s="3">
        <f>G91+'Long-Run Projections'!H88</f>
        <v>435.28499999999997</v>
      </c>
      <c r="H93" s="3">
        <f>H91+'Long-Run Projections'!I88</f>
        <v>453.28499999999997</v>
      </c>
      <c r="I93" s="3">
        <f>I91+'Long-Run Projections'!J88</f>
        <v>471.28499999999974</v>
      </c>
      <c r="J93" s="3">
        <f>J91+'Long-Run Projections'!K88</f>
        <v>489.28499999999974</v>
      </c>
      <c r="K93" s="3">
        <f>K91+'Long-Run Projections'!L88</f>
        <v>507.28499999999974</v>
      </c>
      <c r="L93" s="3">
        <f>L91+'Long-Run Projections'!M88</f>
        <v>525.28499999999974</v>
      </c>
      <c r="M93" s="3">
        <f>M91+'Long-Run Projections'!N88</f>
        <v>543.28499999999951</v>
      </c>
      <c r="N93" s="3">
        <f>N91+'Long-Run Projections'!O88</f>
        <v>561.28499999999951</v>
      </c>
      <c r="O93" s="3">
        <f>O91+'Long-Run Projections'!P88</f>
        <v>579.28499999999951</v>
      </c>
      <c r="Q93" s="3">
        <f t="shared" ref="Q93" si="141">AVERAGE(F93:O93)</f>
        <v>498.28499999999985</v>
      </c>
      <c r="R93" s="3">
        <f t="shared" ref="R93" si="142">STDEV(F93:O93)</f>
        <v>54.4977063737539</v>
      </c>
    </row>
    <row r="95" spans="1:19" x14ac:dyDescent="0.25">
      <c r="A95" s="31"/>
      <c r="B95" s="31" t="s">
        <v>125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3"/>
      <c r="P95" s="31"/>
      <c r="Q95" s="31"/>
      <c r="R95" s="31"/>
      <c r="S95" s="31"/>
    </row>
    <row r="96" spans="1:19" x14ac:dyDescent="0.25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3"/>
      <c r="P96" s="31"/>
      <c r="Q96" s="31"/>
      <c r="R96" s="31"/>
      <c r="S96" s="31"/>
    </row>
    <row r="97" spans="1:20" x14ac:dyDescent="0.25">
      <c r="A97" s="31"/>
      <c r="B97" s="31"/>
      <c r="C97" s="31" t="s">
        <v>83</v>
      </c>
      <c r="D97" s="31"/>
      <c r="E97" s="31"/>
      <c r="F97" s="32">
        <f>(F7*('Production Plans'!$F$19)/100)+(F17*('Production Plans'!$F$20)/100)+(F7*('Production Plans'!$F$21)/100)+(F37*('Production Plans'!$F$22)/100)</f>
        <v>742.4</v>
      </c>
      <c r="G97" s="32">
        <f>(G17*('Production Plans'!$I$19)/100)+(G7*('Production Plans'!$I$20)/100)+(G37*('Production Plans'!$I$21)/100)+(G47*('Production Plans'!$I$22)/100)</f>
        <v>668.87687499999993</v>
      </c>
      <c r="H97" s="32">
        <f>(H7*('Production Plans'!$L$19)/100)+(H37*('Production Plans'!$L$20)/100)+(H47*('Production Plans'!$L$21)/100)+(H87*('Production Plans'!$L$22)/100)</f>
        <v>721.20375000000001</v>
      </c>
      <c r="I97" s="32">
        <f>(I37*('Production Plans'!$O$19)/100)+(I47*('Production Plans'!$O$20)/100)+(I87*('Production Plans'!$O$21)/100)+(I57*('Production Plans'!$O$22)/100)</f>
        <v>815.72812499999986</v>
      </c>
      <c r="J97" s="32">
        <f>(J47*('Production Plans'!$R$19)/100)+(J87*('Production Plans'!$R$20)/100)+(J57*('Production Plans'!$R$21)/100)+(J67*('Production Plans'!$R$22)/100)</f>
        <v>1007.9524999999999</v>
      </c>
      <c r="K97" s="32">
        <f>(K87*('Production Plans'!$U$19)/100)+(K57*('Production Plans'!$U$20)/100)+(K67*('Production Plans'!$U$21)/100)+(K77*('Production Plans'!$U$22)/100)</f>
        <v>958.46124999999984</v>
      </c>
      <c r="L97" s="32">
        <f>(L57*('Production Plans'!$X$19)/100)+(L67*('Production Plans'!$X$20)/100)+(L77*('Production Plans'!$X$21)/100)+(L87*('Production Plans'!$X$22)/100)</f>
        <v>968.24249999999995</v>
      </c>
      <c r="M97" s="32">
        <f>(M67*('Production Plans'!$AA$19)/100)+(M77*('Production Plans'!$AA$20)/100)+(M87*('Production Plans'!$AA$21)/100)+(M87*('Production Plans'!$AA$22)/100)</f>
        <v>890.6262499999998</v>
      </c>
      <c r="N97" s="32">
        <f>(N77*('Production Plans'!$AD$19)/100)+(N87*('Production Plans'!$AD$20)/100)+(N87*('Production Plans'!$AD$21)/100)+(N57*('Production Plans'!$AD$22)/100)</f>
        <v>939.9337499999998</v>
      </c>
      <c r="O97" s="32">
        <f>(O87*('Production Plans'!$AG$19)/100)+(O87*('Production Plans'!$AG$20)/100)+(O57*('Production Plans'!$AG$21)/100)+(O67*('Production Plans'!$AG$22)/100)</f>
        <v>1101.3868749999997</v>
      </c>
      <c r="P97" s="31"/>
      <c r="Q97" s="32">
        <f t="shared" ref="Q97:Q101" si="143">AVERAGE(F97:O97)</f>
        <v>881.48118749999992</v>
      </c>
      <c r="R97" s="32">
        <f t="shared" ref="R97:R101" si="144">STDEV(F97:O97)</f>
        <v>139.78705491257949</v>
      </c>
      <c r="S97" s="31"/>
    </row>
    <row r="98" spans="1:20" x14ac:dyDescent="0.25">
      <c r="A98" s="31"/>
      <c r="B98" s="31"/>
      <c r="C98" s="31" t="s">
        <v>85</v>
      </c>
      <c r="D98" s="31"/>
      <c r="E98" s="31"/>
      <c r="F98" s="32">
        <f>(F8*('Production Plans'!$F$19)/100)+(F18*('Production Plans'!$F$20)/100)+(F8*('Production Plans'!$F$21)/100)+(F38*('Production Plans'!$F$22)/100)</f>
        <v>435.870242125</v>
      </c>
      <c r="G98" s="32">
        <f>(G18*('Production Plans'!$I$19)/100)+(G8*('Production Plans'!$I$20)/100)+(G38*('Production Plans'!$I$21)/100)+(G48*('Production Plans'!$I$22)/100)</f>
        <v>314.74019375</v>
      </c>
      <c r="H98" s="32">
        <f>(H8*('Production Plans'!$L$19)/100)+(H38*('Production Plans'!$L$20)/100)+(H48*('Production Plans'!$L$21)/100)+(H88*('Production Plans'!$L$22)/100)</f>
        <v>267.20442337500003</v>
      </c>
      <c r="I98" s="32">
        <f>(I38*('Production Plans'!$O$19)/100)+(I48*('Production Plans'!$O$20)/100)+(I88*('Production Plans'!$O$21)/100)+(I58*('Production Plans'!$O$22)/100)</f>
        <v>251.66328625</v>
      </c>
      <c r="J98" s="32">
        <f>(J48*('Production Plans'!$R$19)/100)+(J88*('Production Plans'!$R$20)/100)+(J58*('Production Plans'!$R$21)/100)+(J68*('Production Plans'!$R$22)/100)</f>
        <v>284.56407250000001</v>
      </c>
      <c r="K98" s="32">
        <f>(K88*('Production Plans'!$U$19)/100)+(K58*('Production Plans'!$U$20)/100)+(K68*('Production Plans'!$U$21)/100)+(K78*('Production Plans'!$U$22)/100)</f>
        <v>293.57344749999999</v>
      </c>
      <c r="L98" s="32">
        <f>(L58*('Production Plans'!$X$19)/100)+(L68*('Production Plans'!$X$20)/100)+(L78*('Production Plans'!$X$21)/100)+(L88*('Production Plans'!$X$22)/100)</f>
        <v>293.57344750000004</v>
      </c>
      <c r="M98" s="32">
        <f>(M68*('Production Plans'!$AA$19)/100)+(M78*('Production Plans'!$AA$20)/100)+(M88*('Production Plans'!$AA$21)/100)+(M88*('Production Plans'!$AA$22)/100)</f>
        <v>187.98453625000002</v>
      </c>
      <c r="N98" s="32">
        <f>(N78*('Production Plans'!$AD$19)/100)+(N88*('Production Plans'!$AD$20)/100)+(N88*('Production Plans'!$AD$21)/100)+(N58*('Production Plans'!$AD$22)/100)</f>
        <v>251.66328625</v>
      </c>
      <c r="O98" s="32">
        <f>(O88*('Production Plans'!$AG$19)/100)+(O88*('Production Plans'!$AG$20)/100)+(O58*('Production Plans'!$AG$21)/100)+(O68*('Production Plans'!$AG$22)/100)</f>
        <v>284.56407250000001</v>
      </c>
      <c r="P98" s="31"/>
      <c r="Q98" s="32">
        <f t="shared" si="143"/>
        <v>286.5401008</v>
      </c>
      <c r="R98" s="32">
        <f t="shared" si="144"/>
        <v>63.000294328576857</v>
      </c>
      <c r="S98" s="31"/>
    </row>
    <row r="99" spans="1:20" x14ac:dyDescent="0.25">
      <c r="A99" s="31"/>
      <c r="B99" s="31"/>
      <c r="C99" s="31" t="s">
        <v>49</v>
      </c>
      <c r="D99" s="31"/>
      <c r="E99" s="31"/>
      <c r="F99" s="32">
        <f>(F9*('Production Plans'!$F$19)/100)+(F19*('Production Plans'!$F$20)/100)+(F9*('Production Plans'!$F$21)/100)+(F39*('Production Plans'!$F$22)/100)</f>
        <v>306.52975787499997</v>
      </c>
      <c r="G99" s="32">
        <f>(G19*('Production Plans'!$I$19)/100)+(G9*('Production Plans'!$I$20)/100)+(G39*('Production Plans'!$I$21)/100)+(G49*('Production Plans'!$I$22)/100)</f>
        <v>354.13668125000004</v>
      </c>
      <c r="H99" s="32">
        <f>(H9*('Production Plans'!$L$19)/100)+(H39*('Production Plans'!$L$20)/100)+(H49*('Production Plans'!$L$21)/100)+(H89*('Production Plans'!$L$22)/100)</f>
        <v>453.99932662499998</v>
      </c>
      <c r="I99" s="32">
        <f>(I39*('Production Plans'!$O$19)/100)+(I49*('Production Plans'!$O$20)/100)+(I89*('Production Plans'!$O$21)/100)+(I59*('Production Plans'!$O$22)/100)</f>
        <v>564.06483874999981</v>
      </c>
      <c r="J99" s="32">
        <f>(J49*('Production Plans'!$R$19)/100)+(J89*('Production Plans'!$R$20)/100)+(J59*('Production Plans'!$R$21)/100)+(J69*('Production Plans'!$R$22)/100)</f>
        <v>723.38842749999981</v>
      </c>
      <c r="K99" s="32">
        <f>(K89*('Production Plans'!$U$19)/100)+(K59*('Production Plans'!$U$20)/100)+(K69*('Production Plans'!$U$21)/100)+(K79*('Production Plans'!$U$22)/100)</f>
        <v>664.88780250000002</v>
      </c>
      <c r="L99" s="32">
        <f>(L59*('Production Plans'!$X$19)/100)+(L69*('Production Plans'!$X$20)/100)+(L79*('Production Plans'!$X$21)/100)+(L89*('Production Plans'!$X$22)/100)</f>
        <v>674.66905250000002</v>
      </c>
      <c r="M99" s="32">
        <f>(M69*('Production Plans'!$AA$19)/100)+(M79*('Production Plans'!$AA$20)/100)+(M89*('Production Plans'!$AA$21)/100)+(M89*('Production Plans'!$AA$22)/100)</f>
        <v>702.64171374999978</v>
      </c>
      <c r="N99" s="32">
        <f>(N79*('Production Plans'!$AD$19)/100)+(N89*('Production Plans'!$AD$20)/100)+(N89*('Production Plans'!$AD$21)/100)+(N59*('Production Plans'!$AD$22)/100)</f>
        <v>688.27046374999964</v>
      </c>
      <c r="O99" s="32">
        <f>(O89*('Production Plans'!$AG$19)/100)+(O89*('Production Plans'!$AG$20)/100)+(O59*('Production Plans'!$AG$21)/100)+(O69*('Production Plans'!$AG$22)/100)</f>
        <v>816.82280249999963</v>
      </c>
      <c r="P99" s="31"/>
      <c r="Q99" s="32">
        <f t="shared" si="143"/>
        <v>594.9410866999998</v>
      </c>
      <c r="R99" s="32">
        <f t="shared" si="144"/>
        <v>169.73013977536974</v>
      </c>
      <c r="S99" s="31"/>
    </row>
    <row r="100" spans="1:20" x14ac:dyDescent="0.25">
      <c r="A100" s="31"/>
      <c r="B100" s="31"/>
      <c r="C100" s="31" t="s">
        <v>86</v>
      </c>
      <c r="D100" s="31"/>
      <c r="E100" s="31"/>
      <c r="F100" s="32">
        <f>(F10*('Production Plans'!$F$19)/100)+(F20*('Production Plans'!$F$20)/100)+(F10*('Production Plans'!$F$21)/100)+(F40*('Production Plans'!$F$22)/100)</f>
        <v>403.71250000000003</v>
      </c>
      <c r="G100" s="32">
        <f>(G20*('Production Plans'!$I$19)/100)+(G10*('Production Plans'!$I$20)/100)+(G40*('Production Plans'!$I$21)/100)+(G50*('Production Plans'!$I$22)/100)</f>
        <v>430.50250000000005</v>
      </c>
      <c r="H100" s="32">
        <f>(H10*('Production Plans'!$L$19)/100)+(H40*('Production Plans'!$L$20)/100)+(H50*('Production Plans'!$L$21)/100)+(H90*('Production Plans'!$L$22)/100)</f>
        <v>463.19000000000005</v>
      </c>
      <c r="I100" s="32">
        <f>(I40*('Production Plans'!$O$19)/100)+(I50*('Production Plans'!$O$20)/100)+(I90*('Production Plans'!$O$21)/100)+(I60*('Production Plans'!$O$22)/100)</f>
        <v>489.0025</v>
      </c>
      <c r="J100" s="32">
        <f>(J50*('Production Plans'!$R$19)/100)+(J90*('Production Plans'!$R$20)/100)+(J60*('Production Plans'!$R$21)/100)+(J70*('Production Plans'!$R$22)/100)</f>
        <v>494.64499999999998</v>
      </c>
      <c r="K100" s="32">
        <f>(K90*('Production Plans'!$U$19)/100)+(K60*('Production Plans'!$U$20)/100)+(K70*('Production Plans'!$U$21)/100)+(K80*('Production Plans'!$U$22)/100)</f>
        <v>473.97500000000002</v>
      </c>
      <c r="L100" s="32">
        <f>(L60*('Production Plans'!$X$19)/100)+(L70*('Production Plans'!$X$20)/100)+(L80*('Production Plans'!$X$21)/100)+(L90*('Production Plans'!$X$22)/100)</f>
        <v>473.97500000000002</v>
      </c>
      <c r="M100" s="32">
        <f>(M70*('Production Plans'!$AA$19)/100)+(M80*('Production Plans'!$AA$20)/100)+(M90*('Production Plans'!$AA$21)/100)+(M90*('Production Plans'!$AA$22)/100)</f>
        <v>474.95249999999999</v>
      </c>
      <c r="N100" s="32">
        <f>(N80*('Production Plans'!$AD$19)/100)+(N90*('Production Plans'!$AD$20)/100)+(N90*('Production Plans'!$AD$21)/100)+(N60*('Production Plans'!$AD$22)/100)</f>
        <v>489.0025</v>
      </c>
      <c r="O100" s="32">
        <f>(O90*('Production Plans'!$AG$19)/100)+(O90*('Production Plans'!$AG$20)/100)+(O60*('Production Plans'!$AG$21)/100)+(O70*('Production Plans'!$AG$22)/100)</f>
        <v>494.64499999999998</v>
      </c>
      <c r="P100" s="31"/>
      <c r="Q100" s="32">
        <f t="shared" si="143"/>
        <v>468.76024999999993</v>
      </c>
      <c r="R100" s="32">
        <f t="shared" si="144"/>
        <v>29.773519238531762</v>
      </c>
      <c r="S100" s="31"/>
    </row>
    <row r="101" spans="1:20" x14ac:dyDescent="0.25">
      <c r="A101" s="31"/>
      <c r="B101" s="31"/>
      <c r="C101" s="31" t="s">
        <v>50</v>
      </c>
      <c r="D101" s="31"/>
      <c r="E101" s="31"/>
      <c r="F101" s="32">
        <f>(F11*('Production Plans'!$F$19)/100)+(F21*('Production Plans'!$F$20)/100)+(F11*('Production Plans'!$F$21)/100)+(F41*('Production Plans'!$F$22)/100)</f>
        <v>-97.182742125000004</v>
      </c>
      <c r="G101" s="32">
        <f>(G21*('Production Plans'!$I$19)/100)+(G11*('Production Plans'!$I$20)/100)+(G41*('Production Plans'!$I$21)/100)+(G51*('Production Plans'!$I$22)/100)</f>
        <v>-76.365818749999988</v>
      </c>
      <c r="H101" s="32">
        <f>(H11*('Production Plans'!$L$19)/100)+(H41*('Production Plans'!$L$20)/100)+(H51*('Production Plans'!$L$21)/100)+(H91*('Production Plans'!$L$22)/100)</f>
        <v>-9.1906733749999887</v>
      </c>
      <c r="I101" s="32">
        <f>(I41*('Production Plans'!$O$19)/100)+(I51*('Production Plans'!$O$20)/100)+(I91*('Production Plans'!$O$21)/100)+(I61*('Production Plans'!$O$22)/100)</f>
        <v>75.062338749999853</v>
      </c>
      <c r="J101" s="32">
        <f>(J51*('Production Plans'!$R$19)/100)+(J91*('Production Plans'!$R$20)/100)+(J61*('Production Plans'!$R$21)/100)+(J71*('Production Plans'!$R$22)/100)</f>
        <v>228.74342749999985</v>
      </c>
      <c r="K101" s="32">
        <f>(K91*('Production Plans'!$U$19)/100)+(K61*('Production Plans'!$U$20)/100)+(K71*('Production Plans'!$U$21)/100)+(K81*('Production Plans'!$U$22)/100)</f>
        <v>190.9128025</v>
      </c>
      <c r="L101" s="32">
        <f>(L61*('Production Plans'!$X$19)/100)+(L71*('Production Plans'!$X$20)/100)+(L81*('Production Plans'!$X$21)/100)+(L91*('Production Plans'!$X$22)/100)</f>
        <v>200.69405250000003</v>
      </c>
      <c r="M101" s="32">
        <f>(M71*('Production Plans'!$AA$19)/100)+(M81*('Production Plans'!$AA$20)/100)+(M91*('Production Plans'!$AA$21)/100)+(M91*('Production Plans'!$AA$22)/100)</f>
        <v>227.68921374999982</v>
      </c>
      <c r="N101" s="32">
        <f>(N81*('Production Plans'!$AD$19)/100)+(N91*('Production Plans'!$AD$20)/100)+(N91*('Production Plans'!$AD$21)/100)+(N61*('Production Plans'!$AD$22)/100)</f>
        <v>199.26796374999978</v>
      </c>
      <c r="O101" s="32">
        <f>(O91*('Production Plans'!$AG$19)/100)+(O91*('Production Plans'!$AG$20)/100)+(O61*('Production Plans'!$AG$21)/100)+(O71*('Production Plans'!$AG$22)/100)</f>
        <v>322.17780249999976</v>
      </c>
      <c r="P101" s="31"/>
      <c r="Q101" s="32">
        <f t="shared" si="143"/>
        <v>126.18083669999992</v>
      </c>
      <c r="R101" s="32">
        <f t="shared" si="144"/>
        <v>143.82744432266162</v>
      </c>
      <c r="S101" s="31"/>
    </row>
    <row r="102" spans="1:20" x14ac:dyDescent="0.25">
      <c r="A102" s="31"/>
      <c r="B102" s="31"/>
      <c r="C102" s="31"/>
      <c r="D102" s="31"/>
      <c r="E102" s="31"/>
      <c r="F102" s="31"/>
      <c r="G102" s="31"/>
      <c r="H102" s="32"/>
      <c r="I102" s="32"/>
      <c r="J102" s="32"/>
      <c r="K102" s="32"/>
      <c r="L102" s="32"/>
      <c r="M102" s="32"/>
      <c r="N102" s="32"/>
      <c r="O102" s="32"/>
      <c r="P102" s="31"/>
      <c r="Q102" s="31"/>
      <c r="R102" s="31"/>
      <c r="S102" s="31"/>
    </row>
    <row r="103" spans="1:20" x14ac:dyDescent="0.25">
      <c r="A103" s="31"/>
      <c r="B103" s="31"/>
      <c r="C103" s="31" t="s">
        <v>92</v>
      </c>
      <c r="D103" s="31"/>
      <c r="E103" s="31"/>
      <c r="F103" s="32">
        <f>(F13*('Production Plans'!$F$19)/100)+(F23*('Production Plans'!$F$20)/100)+(F13*('Production Plans'!$F$21)/100)+(F43*('Production Plans'!$F$22)/100)</f>
        <v>157.817257875</v>
      </c>
      <c r="G103" s="32">
        <f>(G23*('Production Plans'!$I$19)/100)+(G13*('Production Plans'!$I$20)/100)+(G43*('Production Plans'!$I$21)/100)+(G53*('Production Plans'!$I$22)/100)</f>
        <v>178.63418125000004</v>
      </c>
      <c r="H103" s="32">
        <f>(H13*('Production Plans'!$L$19)/100)+(H43*('Production Plans'!$L$20)/100)+(H53*('Production Plans'!$L$21)/100)+(H93*('Production Plans'!$L$22)/100)</f>
        <v>245.80932662500004</v>
      </c>
      <c r="I103" s="32">
        <f>(I43*('Production Plans'!$O$19)/100)+(I53*('Production Plans'!$O$20)/100)+(I93*('Production Plans'!$O$21)/100)+(I63*('Production Plans'!$O$22)/100)</f>
        <v>330.06233874999987</v>
      </c>
      <c r="J103" s="32">
        <f>(J53*('Production Plans'!$R$19)/100)+(J93*('Production Plans'!$R$20)/100)+(J63*('Production Plans'!$R$21)/100)+(J73*('Production Plans'!$R$22)/100)</f>
        <v>483.74342749999983</v>
      </c>
      <c r="K103" s="32">
        <f>(K93*('Production Plans'!$U$19)/100)+(K63*('Production Plans'!$U$20)/100)+(K73*('Production Plans'!$U$21)/100)+(K83*('Production Plans'!$U$22)/100)</f>
        <v>445.9128025</v>
      </c>
      <c r="L103" s="32">
        <f>(L63*('Production Plans'!$X$19)/100)+(L73*('Production Plans'!$X$20)/100)+(L83*('Production Plans'!$X$21)/100)+(L93*('Production Plans'!$X$22)/100)</f>
        <v>455.6940525</v>
      </c>
      <c r="M103" s="32">
        <f>(M73*('Production Plans'!$AA$19)/100)+(M83*('Production Plans'!$AA$20)/100)+(M93*('Production Plans'!$AA$21)/100)+(M93*('Production Plans'!$AA$22)/100)</f>
        <v>482.68921374999979</v>
      </c>
      <c r="N103" s="32">
        <f>(N83*('Production Plans'!$AD$19)/100)+(N93*('Production Plans'!$AD$20)/100)+(N93*('Production Plans'!$AD$21)/100)+(N63*('Production Plans'!$AD$22)/100)</f>
        <v>454.26796374999981</v>
      </c>
      <c r="O103" s="32">
        <f>(O93*('Production Plans'!$AG$19)/100)+(O93*('Production Plans'!$AG$20)/100)+(O63*('Production Plans'!$AG$21)/100)+(O73*('Production Plans'!$AG$22)/100)</f>
        <v>577.17780249999987</v>
      </c>
      <c r="P103" s="31"/>
      <c r="Q103" s="32">
        <f t="shared" ref="Q103" si="145">AVERAGE(F103:O103)</f>
        <v>381.18083669999993</v>
      </c>
      <c r="R103" s="32">
        <f t="shared" ref="R103" si="146">STDEV(F103:O103)</f>
        <v>143.82744432266162</v>
      </c>
      <c r="S103" s="31"/>
      <c r="T103" s="34"/>
    </row>
  </sheetData>
  <sheetProtection sheet="1" objects="1" scenarios="1"/>
  <pageMargins left="0.7" right="0.7" top="0.75" bottom="0.75" header="0.3" footer="0.3"/>
  <pageSetup scale="54" orientation="portrait" r:id="rId1"/>
  <ignoredErrors>
    <ignoredError sqref="F10 F20 F70 F80 F90 G10:O10 G20:O20 F60:O60 G70:O70 G80:O80 F40:O40 F50:G50 H50:O50 G90:L90 M90:O9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FD93-6605-4C40-9D9B-70962EDD019E}">
  <dimension ref="A1:T46"/>
  <sheetViews>
    <sheetView zoomScale="150" zoomScaleNormal="150" workbookViewId="0">
      <pane xSplit="7" ySplit="2" topLeftCell="H3" activePane="bottomRight" state="frozen"/>
      <selection pane="topRight" activeCell="H1" sqref="H1"/>
      <selection pane="bottomLeft" activeCell="A3" sqref="A3"/>
      <selection pane="bottomRight"/>
    </sheetView>
  </sheetViews>
  <sheetFormatPr defaultRowHeight="15" x14ac:dyDescent="0.25"/>
  <sheetData>
    <row r="1" spans="1:20" x14ac:dyDescent="0.25">
      <c r="A1" s="35" t="s">
        <v>216</v>
      </c>
      <c r="C1" s="36">
        <v>7.4999999999999997E-2</v>
      </c>
    </row>
    <row r="2" spans="1:20" x14ac:dyDescent="0.25">
      <c r="H2" s="37" t="s">
        <v>55</v>
      </c>
      <c r="I2" s="37" t="s">
        <v>56</v>
      </c>
      <c r="J2" s="37" t="s">
        <v>57</v>
      </c>
      <c r="K2" s="37" t="s">
        <v>58</v>
      </c>
      <c r="L2" s="37" t="s">
        <v>59</v>
      </c>
      <c r="M2" s="37" t="s">
        <v>60</v>
      </c>
      <c r="N2" s="37" t="s">
        <v>61</v>
      </c>
      <c r="O2" s="37" t="s">
        <v>62</v>
      </c>
      <c r="P2" s="37" t="s">
        <v>63</v>
      </c>
      <c r="Q2" s="37" t="s">
        <v>64</v>
      </c>
      <c r="S2" s="37" t="s">
        <v>89</v>
      </c>
      <c r="T2" s="37" t="s">
        <v>90</v>
      </c>
    </row>
    <row r="4" spans="1:20" x14ac:dyDescent="0.25">
      <c r="B4" s="1" t="str">
        <f>'Annual Returns'!$B$25</f>
        <v>Conventional Crop Rotation (per acre)</v>
      </c>
      <c r="C4" s="1"/>
      <c r="D4" s="1"/>
      <c r="E4" s="1"/>
      <c r="F4" s="1"/>
      <c r="G4" s="1"/>
    </row>
    <row r="5" spans="1:20" x14ac:dyDescent="0.25">
      <c r="B5" s="1"/>
      <c r="C5" s="1"/>
      <c r="D5" s="1"/>
      <c r="E5" s="1"/>
      <c r="F5" s="1"/>
      <c r="G5" s="1"/>
    </row>
    <row r="6" spans="1:20" x14ac:dyDescent="0.25">
      <c r="B6" s="1"/>
      <c r="C6" s="1" t="str">
        <f>'Annual Returns'!$C$27</f>
        <v>Gross Return</v>
      </c>
      <c r="D6" s="1"/>
      <c r="E6" s="1"/>
      <c r="F6" s="1"/>
      <c r="G6" s="1"/>
      <c r="H6" s="38">
        <f>'Annual Returns'!$F$27</f>
        <v>824.4</v>
      </c>
      <c r="I6" s="38">
        <f>'Annual Returns'!$G$27</f>
        <v>775.65000000000009</v>
      </c>
      <c r="J6" s="38">
        <f>'Annual Returns'!$H$27</f>
        <v>782.45</v>
      </c>
      <c r="K6" s="38">
        <f>'Annual Returns'!$I$27</f>
        <v>789.25</v>
      </c>
      <c r="L6" s="38">
        <f>'Annual Returns'!$J$27</f>
        <v>796.05000000000007</v>
      </c>
      <c r="M6" s="38">
        <f>'Annual Returns'!$K$27</f>
        <v>802.85</v>
      </c>
      <c r="N6" s="38">
        <f>'Annual Returns'!$L$27</f>
        <v>809.65000000000009</v>
      </c>
      <c r="O6" s="38">
        <f>'Annual Returns'!$M$27</f>
        <v>816.45</v>
      </c>
      <c r="P6" s="38">
        <f>'Annual Returns'!$N$27</f>
        <v>823.25</v>
      </c>
      <c r="Q6" s="38">
        <f>'Annual Returns'!$O$27</f>
        <v>830.05000000000007</v>
      </c>
      <c r="S6" s="38">
        <f t="shared" ref="S6:S10" si="0">AVERAGE(H6:Q6)</f>
        <v>805.00500000000011</v>
      </c>
      <c r="T6" s="38">
        <f t="shared" ref="T6:T10" si="1">STDEV(H6:Q6)</f>
        <v>18.833664451366502</v>
      </c>
    </row>
    <row r="7" spans="1:20" x14ac:dyDescent="0.25">
      <c r="B7" s="1"/>
      <c r="C7" s="1" t="str">
        <f>'Annual Returns'!$C$28</f>
        <v>Variable Cost</v>
      </c>
      <c r="D7" s="1"/>
      <c r="E7" s="1"/>
      <c r="F7" s="1"/>
      <c r="G7" s="1"/>
      <c r="H7" s="38">
        <f>'Annual Returns'!$F$28</f>
        <v>474.3966375</v>
      </c>
      <c r="I7" s="38">
        <f>'Annual Returns'!$G$28</f>
        <v>474.3966375</v>
      </c>
      <c r="J7" s="38">
        <f>'Annual Returns'!$H$28</f>
        <v>474.3966375</v>
      </c>
      <c r="K7" s="38">
        <f>'Annual Returns'!$I$28</f>
        <v>474.3966375</v>
      </c>
      <c r="L7" s="38">
        <f>'Annual Returns'!$J$28</f>
        <v>474.3966375</v>
      </c>
      <c r="M7" s="38">
        <f>'Annual Returns'!$K$28</f>
        <v>474.3966375</v>
      </c>
      <c r="N7" s="38">
        <f>'Annual Returns'!$L$28</f>
        <v>474.3966375</v>
      </c>
      <c r="O7" s="38">
        <f>'Annual Returns'!$M$28</f>
        <v>474.3966375</v>
      </c>
      <c r="P7" s="38">
        <f>'Annual Returns'!$N$28</f>
        <v>474.3966375</v>
      </c>
      <c r="Q7" s="38">
        <f>'Annual Returns'!$O$28</f>
        <v>474.3966375</v>
      </c>
      <c r="S7" s="38">
        <f t="shared" si="0"/>
        <v>474.3966375</v>
      </c>
      <c r="T7" s="38">
        <f t="shared" si="1"/>
        <v>0</v>
      </c>
    </row>
    <row r="8" spans="1:20" x14ac:dyDescent="0.25">
      <c r="B8" s="1"/>
      <c r="C8" s="1" t="str">
        <f>'Annual Returns'!$C$29</f>
        <v>Contribution Margin</v>
      </c>
      <c r="D8" s="1"/>
      <c r="E8" s="1"/>
      <c r="F8" s="1"/>
      <c r="G8" s="1"/>
      <c r="H8" s="38">
        <f>'Annual Returns'!$F$29</f>
        <v>350.00336249999998</v>
      </c>
      <c r="I8" s="38">
        <f>'Annual Returns'!$G$29</f>
        <v>301.25336250000009</v>
      </c>
      <c r="J8" s="38">
        <f>'Annual Returns'!$H$29</f>
        <v>308.05336250000005</v>
      </c>
      <c r="K8" s="38">
        <f>'Annual Returns'!$I$29</f>
        <v>314.85336250000012</v>
      </c>
      <c r="L8" s="38">
        <f>'Annual Returns'!$J$29</f>
        <v>321.65336250000007</v>
      </c>
      <c r="M8" s="38">
        <f>'Annual Returns'!$K$29</f>
        <v>328.45336250000003</v>
      </c>
      <c r="N8" s="38">
        <f>'Annual Returns'!$L$29</f>
        <v>335.25336250000009</v>
      </c>
      <c r="O8" s="38">
        <f>'Annual Returns'!$M$29</f>
        <v>342.05336250000005</v>
      </c>
      <c r="P8" s="38">
        <f>'Annual Returns'!$N$29</f>
        <v>348.85336250000012</v>
      </c>
      <c r="Q8" s="38">
        <f>'Annual Returns'!$O$29</f>
        <v>355.65336250000007</v>
      </c>
      <c r="S8" s="38">
        <f t="shared" si="0"/>
        <v>330.6083625</v>
      </c>
      <c r="T8" s="38">
        <f t="shared" si="1"/>
        <v>18.833664451366502</v>
      </c>
    </row>
    <row r="9" spans="1:20" x14ac:dyDescent="0.25">
      <c r="B9" s="1"/>
      <c r="C9" s="1" t="str">
        <f>'Annual Returns'!$C$30</f>
        <v>Fixed Cost</v>
      </c>
      <c r="D9" s="1"/>
      <c r="E9" s="1"/>
      <c r="F9" s="1"/>
      <c r="G9" s="1"/>
      <c r="H9" s="38">
        <f>'Annual Returns'!$F$30</f>
        <v>391.69499999999999</v>
      </c>
      <c r="I9" s="38">
        <f>'Annual Returns'!$G$30</f>
        <v>391.69499999999999</v>
      </c>
      <c r="J9" s="38">
        <f>'Annual Returns'!$H$30</f>
        <v>391.69499999999999</v>
      </c>
      <c r="K9" s="38">
        <f>'Annual Returns'!$I$30</f>
        <v>391.69499999999999</v>
      </c>
      <c r="L9" s="38">
        <f>'Annual Returns'!$J$30</f>
        <v>391.69499999999999</v>
      </c>
      <c r="M9" s="38">
        <f>'Annual Returns'!$K$30</f>
        <v>391.69499999999999</v>
      </c>
      <c r="N9" s="38">
        <f>'Annual Returns'!$L$30</f>
        <v>391.69499999999999</v>
      </c>
      <c r="O9" s="38">
        <f>'Annual Returns'!$M$30</f>
        <v>391.69499999999999</v>
      </c>
      <c r="P9" s="38">
        <f>'Annual Returns'!$N$30</f>
        <v>391.69499999999999</v>
      </c>
      <c r="Q9" s="38">
        <f>'Annual Returns'!$O$30</f>
        <v>391.69499999999999</v>
      </c>
      <c r="S9" s="38">
        <f t="shared" si="0"/>
        <v>391.69500000000005</v>
      </c>
      <c r="T9" s="38">
        <f t="shared" si="1"/>
        <v>5.9918224530375701E-14</v>
      </c>
    </row>
    <row r="10" spans="1:20" x14ac:dyDescent="0.25">
      <c r="B10" s="1"/>
      <c r="C10" s="1" t="str">
        <f>'Annual Returns'!$C$31</f>
        <v>Earnings</v>
      </c>
      <c r="D10" s="1"/>
      <c r="E10" s="1"/>
      <c r="F10" s="1"/>
      <c r="G10" s="1"/>
      <c r="H10" s="38">
        <f>'Annual Returns'!$F$31</f>
        <v>-41.691637499999985</v>
      </c>
      <c r="I10" s="38">
        <f>'Annual Returns'!$G$31</f>
        <v>-90.441637499999928</v>
      </c>
      <c r="J10" s="38">
        <f>'Annual Returns'!$H$31</f>
        <v>-83.641637499999916</v>
      </c>
      <c r="K10" s="38">
        <f>'Annual Returns'!$I$31</f>
        <v>-76.841637499999905</v>
      </c>
      <c r="L10" s="38">
        <f>'Annual Returns'!$J$31</f>
        <v>-70.041637499999894</v>
      </c>
      <c r="M10" s="38">
        <f>'Annual Returns'!$K$31</f>
        <v>-63.241637499999939</v>
      </c>
      <c r="N10" s="38">
        <f>'Annual Returns'!$L$31</f>
        <v>-56.441637499999928</v>
      </c>
      <c r="O10" s="38">
        <f>'Annual Returns'!$M$31</f>
        <v>-49.641637499999916</v>
      </c>
      <c r="P10" s="38">
        <f>'Annual Returns'!$N$31</f>
        <v>-42.841637499999905</v>
      </c>
      <c r="Q10" s="38">
        <f>'Annual Returns'!$O$31</f>
        <v>-36.041637499999894</v>
      </c>
      <c r="S10" s="38">
        <f t="shared" si="0"/>
        <v>-61.086637499999917</v>
      </c>
      <c r="T10" s="38">
        <f t="shared" si="1"/>
        <v>18.833664451366527</v>
      </c>
    </row>
    <row r="11" spans="1:20" x14ac:dyDescent="0.25">
      <c r="B11" s="1"/>
      <c r="C11" s="1"/>
      <c r="D11" s="1"/>
      <c r="E11" s="1"/>
      <c r="F11" s="1"/>
      <c r="G11" s="1"/>
      <c r="S11" s="38"/>
      <c r="T11" s="38"/>
    </row>
    <row r="12" spans="1:20" x14ac:dyDescent="0.25">
      <c r="B12" s="1"/>
      <c r="C12" s="1" t="str">
        <f>'Annual Returns'!$C$33</f>
        <v>Net Return to Land</v>
      </c>
      <c r="D12" s="1"/>
      <c r="E12" s="1"/>
      <c r="F12" s="1"/>
      <c r="G12" s="1"/>
      <c r="H12" s="38">
        <f>'Annual Returns'!$F$33</f>
        <v>213.30836250000002</v>
      </c>
      <c r="I12" s="38">
        <f>'Annual Returns'!$G$33</f>
        <v>164.55836250000007</v>
      </c>
      <c r="J12" s="38">
        <f>'Annual Returns'!$H$33</f>
        <v>171.35836250000008</v>
      </c>
      <c r="K12" s="38">
        <f>'Annual Returns'!$I$33</f>
        <v>178.15836250000009</v>
      </c>
      <c r="L12" s="38">
        <f>'Annual Returns'!$J$33</f>
        <v>184.95836250000011</v>
      </c>
      <c r="M12" s="38">
        <f>'Annual Returns'!$K$33</f>
        <v>191.75836250000006</v>
      </c>
      <c r="N12" s="38">
        <f>'Annual Returns'!$L$33</f>
        <v>198.55836250000007</v>
      </c>
      <c r="O12" s="38">
        <f>'Annual Returns'!$M$33</f>
        <v>205.35836250000008</v>
      </c>
      <c r="P12" s="38">
        <f>'Annual Returns'!$N$33</f>
        <v>212.15836250000009</v>
      </c>
      <c r="Q12" s="38">
        <f>'Annual Returns'!$O$33</f>
        <v>218.95836250000011</v>
      </c>
      <c r="S12" s="38">
        <f t="shared" ref="S12" si="2">AVERAGE(H12:Q12)</f>
        <v>193.91336250000009</v>
      </c>
      <c r="T12" s="38">
        <f t="shared" ref="T12" si="3">STDEV(H12:Q12)</f>
        <v>18.833664451366506</v>
      </c>
    </row>
    <row r="14" spans="1:20" x14ac:dyDescent="0.25">
      <c r="C14" s="7" t="s">
        <v>217</v>
      </c>
      <c r="D14" s="7"/>
      <c r="E14" s="7"/>
      <c r="F14" s="7"/>
      <c r="H14" s="39">
        <f t="shared" ref="H14:H18" si="4">H6/(1+$C$1)</f>
        <v>766.88372093023258</v>
      </c>
      <c r="I14" s="39">
        <f>I6/(1+$C$1)^2</f>
        <v>671.19524067063287</v>
      </c>
      <c r="J14" s="39">
        <f>J6/(1+$C$1)^3</f>
        <v>629.84139761278891</v>
      </c>
      <c r="K14" s="39">
        <f>K6/(1+$C$1)^4</f>
        <v>590.99081812600389</v>
      </c>
      <c r="L14" s="39">
        <f>L6/(1+$C$1)^5</f>
        <v>554.49549928230999</v>
      </c>
      <c r="M14" s="39">
        <f>M6/(1+$C$1)^6</f>
        <v>520.21590509980547</v>
      </c>
      <c r="N14" s="39">
        <f>N6/(1+$C$1)^7</f>
        <v>488.02050551197112</v>
      </c>
      <c r="O14" s="39">
        <f>O6/(1+$C$1)^8</f>
        <v>457.7853384540249</v>
      </c>
      <c r="P14" s="39">
        <f>P6/(1+$C$1)^9</f>
        <v>429.39359408474405</v>
      </c>
      <c r="Q14" s="39">
        <f>Q6/(1+$C$1)^10</f>
        <v>402.73522018663056</v>
      </c>
      <c r="S14" s="39">
        <f t="shared" ref="S14:S18" si="5">AVERAGE(H14:Q14)</f>
        <v>551.15572399591451</v>
      </c>
      <c r="T14" s="39">
        <f t="shared" ref="T14:T18" si="6">STDEV(H14:Q14)</f>
        <v>115.11033239401115</v>
      </c>
    </row>
    <row r="15" spans="1:20" x14ac:dyDescent="0.25">
      <c r="C15" s="7" t="s">
        <v>218</v>
      </c>
      <c r="D15" s="7"/>
      <c r="E15" s="7"/>
      <c r="F15" s="7"/>
      <c r="H15" s="39">
        <f t="shared" si="4"/>
        <v>441.29919767441862</v>
      </c>
      <c r="I15" s="39">
        <f>I7/(1+$C$1)^2</f>
        <v>410.51088155759874</v>
      </c>
      <c r="J15" s="39">
        <f>J7/(1+$C$1)^3</f>
        <v>381.8705874954407</v>
      </c>
      <c r="K15" s="39">
        <f>K7/(1+$C$1)^4</f>
        <v>355.22845348413085</v>
      </c>
      <c r="L15" s="39">
        <f>L7/(1+$C$1)^5</f>
        <v>330.44507300849381</v>
      </c>
      <c r="M15" s="39">
        <f>M7/(1+$C$1)^6</f>
        <v>307.39076558929662</v>
      </c>
      <c r="N15" s="39">
        <f>N7/(1+$C$1)^7</f>
        <v>285.94489822260147</v>
      </c>
      <c r="O15" s="39">
        <f>O7/(1+$C$1)^8</f>
        <v>265.99525416055957</v>
      </c>
      <c r="P15" s="39">
        <f>P7/(1+$C$1)^9</f>
        <v>247.43744573075307</v>
      </c>
      <c r="Q15" s="39">
        <f>Q7/(1+$C$1)^10</f>
        <v>230.17436812163081</v>
      </c>
      <c r="S15" s="39">
        <f t="shared" si="5"/>
        <v>325.62969250449243</v>
      </c>
      <c r="T15" s="39">
        <f t="shared" si="6"/>
        <v>70.974265671915433</v>
      </c>
    </row>
    <row r="16" spans="1:20" x14ac:dyDescent="0.25">
      <c r="C16" s="7" t="s">
        <v>219</v>
      </c>
      <c r="D16" s="7"/>
      <c r="E16" s="7"/>
      <c r="F16" s="7"/>
      <c r="H16" s="39">
        <f t="shared" si="4"/>
        <v>325.58452325581396</v>
      </c>
      <c r="I16" s="39">
        <f>I8/(1+$C$1)^2</f>
        <v>260.68435911303419</v>
      </c>
      <c r="J16" s="39">
        <f>J8/(1+$C$1)^3</f>
        <v>247.97081011734824</v>
      </c>
      <c r="K16" s="39">
        <f>K8/(1+$C$1)^4</f>
        <v>235.76236464187309</v>
      </c>
      <c r="L16" s="39">
        <f>L8/(1+$C$1)^5</f>
        <v>224.05042627381619</v>
      </c>
      <c r="M16" s="39">
        <f>M8/(1+$C$1)^6</f>
        <v>212.82513951050882</v>
      </c>
      <c r="N16" s="39">
        <f>N8/(1+$C$1)^7</f>
        <v>202.07560728936966</v>
      </c>
      <c r="O16" s="39">
        <f>O8/(1+$C$1)^8</f>
        <v>191.79008429346533</v>
      </c>
      <c r="P16" s="39">
        <f>P8/(1+$C$1)^9</f>
        <v>181.95614835399104</v>
      </c>
      <c r="Q16" s="39">
        <f>Q8/(1+$C$1)^10</f>
        <v>172.56085206499978</v>
      </c>
      <c r="S16" s="39">
        <f t="shared" si="5"/>
        <v>225.526031491422</v>
      </c>
      <c r="T16" s="39">
        <f t="shared" si="6"/>
        <v>45.229700080071048</v>
      </c>
    </row>
    <row r="17" spans="2:20" x14ac:dyDescent="0.25">
      <c r="C17" s="7" t="s">
        <v>220</v>
      </c>
      <c r="D17" s="7"/>
      <c r="E17" s="7"/>
      <c r="F17" s="7"/>
      <c r="H17" s="39">
        <f t="shared" si="4"/>
        <v>364.36744186046514</v>
      </c>
      <c r="I17" s="39">
        <f>I9/(1+$C$1)^2</f>
        <v>338.94645754461874</v>
      </c>
      <c r="J17" s="39">
        <f>J9/(1+$C$1)^3</f>
        <v>315.29903027406397</v>
      </c>
      <c r="K17" s="39">
        <f>K9/(1+$C$1)^4</f>
        <v>293.30142351075716</v>
      </c>
      <c r="L17" s="39">
        <f>L9/(1+$C$1)^5</f>
        <v>272.83853349837875</v>
      </c>
      <c r="M17" s="39">
        <f>M9/(1+$C$1)^6</f>
        <v>253.80328697523606</v>
      </c>
      <c r="N17" s="39">
        <f>N9/(1+$C$1)^7</f>
        <v>236.09608090719632</v>
      </c>
      <c r="O17" s="39">
        <f>O9/(1+$C$1)^8</f>
        <v>219.62426130901986</v>
      </c>
      <c r="P17" s="39">
        <f>P9/(1+$C$1)^9</f>
        <v>204.30163842699523</v>
      </c>
      <c r="Q17" s="39">
        <f>Q9/(1+$C$1)^10</f>
        <v>190.0480357460421</v>
      </c>
      <c r="S17" s="39">
        <f t="shared" si="5"/>
        <v>268.86261900527734</v>
      </c>
      <c r="T17" s="39">
        <f t="shared" si="6"/>
        <v>58.601311212626129</v>
      </c>
    </row>
    <row r="18" spans="2:20" x14ac:dyDescent="0.25">
      <c r="C18" s="7" t="s">
        <v>221</v>
      </c>
      <c r="D18" s="7"/>
      <c r="E18" s="7"/>
      <c r="F18" s="7"/>
      <c r="H18" s="39">
        <f t="shared" si="4"/>
        <v>-38.782918604651151</v>
      </c>
      <c r="I18" s="39">
        <f>I10/(1+$C$1)^2</f>
        <v>-78.26209843158459</v>
      </c>
      <c r="J18" s="39">
        <f>J10/(1+$C$1)^3</f>
        <v>-67.328220156715702</v>
      </c>
      <c r="K18" s="39">
        <f>K10/(1+$C$1)^4</f>
        <v>-57.539058868884084</v>
      </c>
      <c r="L18" s="39">
        <f>L10/(1+$C$1)^5</f>
        <v>-48.788107224562538</v>
      </c>
      <c r="M18" s="39">
        <f>M10/(1+$C$1)^6</f>
        <v>-40.978147464727243</v>
      </c>
      <c r="N18" s="39">
        <f>N10/(1+$C$1)^7</f>
        <v>-34.020473617826703</v>
      </c>
      <c r="O18" s="39">
        <f>O10/(1+$C$1)^8</f>
        <v>-27.834177015554502</v>
      </c>
      <c r="P18" s="39">
        <f>P10/(1+$C$1)^9</f>
        <v>-22.3454900730042</v>
      </c>
      <c r="Q18" s="39">
        <f>Q10/(1+$C$1)^10</f>
        <v>-17.487183681042318</v>
      </c>
      <c r="S18" s="39">
        <f t="shared" si="5"/>
        <v>-43.336587513855314</v>
      </c>
      <c r="T18" s="39">
        <f t="shared" si="6"/>
        <v>19.689392827232755</v>
      </c>
    </row>
    <row r="19" spans="2:20" x14ac:dyDescent="0.25">
      <c r="C19" s="7"/>
      <c r="D19" s="7"/>
      <c r="E19" s="7"/>
      <c r="F19" s="7"/>
      <c r="S19" s="39"/>
      <c r="T19" s="39"/>
    </row>
    <row r="20" spans="2:20" x14ac:dyDescent="0.25">
      <c r="C20" s="7" t="s">
        <v>222</v>
      </c>
      <c r="D20" s="7"/>
      <c r="E20" s="7"/>
      <c r="F20" s="7"/>
      <c r="H20" s="39">
        <f>H12/(1+$C$1)</f>
        <v>198.42638372093026</v>
      </c>
      <c r="I20" s="39">
        <f>I12/(1+$C$1)^2</f>
        <v>142.39771768523534</v>
      </c>
      <c r="J20" s="39">
        <f>J12/(1+$C$1)^3</f>
        <v>137.93672506823307</v>
      </c>
      <c r="K20" s="39">
        <f>K12/(1+$C$1)^4</f>
        <v>133.40507622409152</v>
      </c>
      <c r="L20" s="39">
        <f>L12/(1+$C$1)^5</f>
        <v>128.8343440247171</v>
      </c>
      <c r="M20" s="39">
        <f>M12/(1+$C$1)^6</f>
        <v>124.25203974390499</v>
      </c>
      <c r="N20" s="39">
        <f>N12/(1+$C$1)^7</f>
        <v>119.6820261111335</v>
      </c>
      <c r="O20" s="39">
        <f>O12/(1+$C$1)^8</f>
        <v>115.14489249975732</v>
      </c>
      <c r="P20" s="39">
        <f>P12/(1+$C$1)^9</f>
        <v>110.6582955226347</v>
      </c>
      <c r="Q20" s="39">
        <f>Q12/(1+$C$1)^10</f>
        <v>106.23726803583111</v>
      </c>
      <c r="S20" s="39">
        <f t="shared" ref="S20" si="7">AVERAGE(H20:Q20)</f>
        <v>131.6974768636469</v>
      </c>
      <c r="T20" s="39">
        <f t="shared" ref="T20" si="8">STDEV(H20:Q20)</f>
        <v>26.208452479358847</v>
      </c>
    </row>
    <row r="22" spans="2:20" x14ac:dyDescent="0.25">
      <c r="S22" s="3"/>
    </row>
    <row r="26" spans="2:20" x14ac:dyDescent="0.25">
      <c r="B26" s="1" t="str">
        <f>'Annual Returns'!$B$95</f>
        <v>Transition and Organic Crop Rotations (per acre)</v>
      </c>
      <c r="C26" s="1"/>
      <c r="D26" s="1"/>
      <c r="E26" s="1"/>
      <c r="F26" s="1"/>
      <c r="G26" s="1"/>
    </row>
    <row r="27" spans="2:20" x14ac:dyDescent="0.25">
      <c r="B27" s="1"/>
      <c r="C27" s="1"/>
      <c r="D27" s="1"/>
      <c r="E27" s="1"/>
      <c r="F27" s="1"/>
      <c r="G27" s="1"/>
    </row>
    <row r="28" spans="2:20" x14ac:dyDescent="0.25">
      <c r="B28" s="1"/>
      <c r="C28" s="1" t="str">
        <f>'Annual Returns'!$C$67</f>
        <v>Gross Revenue</v>
      </c>
      <c r="D28" s="1"/>
      <c r="E28" s="1"/>
      <c r="F28" s="1"/>
      <c r="G28" s="1"/>
      <c r="H28" s="38">
        <f>'Annual Returns'!$F$97</f>
        <v>742.4</v>
      </c>
      <c r="I28" s="38">
        <f>'Annual Returns'!$G$97</f>
        <v>668.87687499999993</v>
      </c>
      <c r="J28" s="38">
        <f>'Annual Returns'!$H$97</f>
        <v>721.20375000000001</v>
      </c>
      <c r="K28" s="38">
        <f>'Annual Returns'!$I$97</f>
        <v>815.72812499999986</v>
      </c>
      <c r="L28" s="38">
        <f>'Annual Returns'!$J$97</f>
        <v>1007.9524999999999</v>
      </c>
      <c r="M28" s="38">
        <f>'Annual Returns'!$K$97</f>
        <v>958.46124999999984</v>
      </c>
      <c r="N28" s="38">
        <f>'Annual Returns'!$L$97</f>
        <v>968.24249999999995</v>
      </c>
      <c r="O28" s="38">
        <f>'Annual Returns'!$M$97</f>
        <v>890.6262499999998</v>
      </c>
      <c r="P28" s="38">
        <f>'Annual Returns'!$N$97</f>
        <v>939.9337499999998</v>
      </c>
      <c r="Q28" s="38">
        <f>'Annual Returns'!$O$97</f>
        <v>1101.3868749999997</v>
      </c>
      <c r="S28" s="38">
        <f t="shared" ref="S28:S32" si="9">AVERAGE(H28:Q28)</f>
        <v>881.48118749999992</v>
      </c>
      <c r="T28" s="38">
        <f t="shared" ref="T28:T32" si="10">STDEV(H28:Q28)</f>
        <v>139.78705491257949</v>
      </c>
    </row>
    <row r="29" spans="2:20" x14ac:dyDescent="0.25">
      <c r="B29" s="1"/>
      <c r="C29" s="1" t="str">
        <f>'Annual Returns'!$C$68</f>
        <v>Variable Cost</v>
      </c>
      <c r="D29" s="1"/>
      <c r="E29" s="1"/>
      <c r="F29" s="1"/>
      <c r="G29" s="1"/>
      <c r="H29" s="38">
        <f>'Annual Returns'!$F$98</f>
        <v>435.870242125</v>
      </c>
      <c r="I29" s="38">
        <f>'Annual Returns'!$G$98</f>
        <v>314.74019375</v>
      </c>
      <c r="J29" s="38">
        <f>'Annual Returns'!$H$98</f>
        <v>267.20442337500003</v>
      </c>
      <c r="K29" s="38">
        <f>'Annual Returns'!$I$98</f>
        <v>251.66328625</v>
      </c>
      <c r="L29" s="38">
        <f>'Annual Returns'!$J$98</f>
        <v>284.56407250000001</v>
      </c>
      <c r="M29" s="38">
        <f>'Annual Returns'!$K$98</f>
        <v>293.57344749999999</v>
      </c>
      <c r="N29" s="38">
        <f>'Annual Returns'!$L$98</f>
        <v>293.57344750000004</v>
      </c>
      <c r="O29" s="38">
        <f>'Annual Returns'!$M$98</f>
        <v>187.98453625000002</v>
      </c>
      <c r="P29" s="38">
        <f>'Annual Returns'!$N$98</f>
        <v>251.66328625</v>
      </c>
      <c r="Q29" s="38">
        <f>'Annual Returns'!$O$98</f>
        <v>284.56407250000001</v>
      </c>
      <c r="S29" s="38">
        <f t="shared" si="9"/>
        <v>286.5401008</v>
      </c>
      <c r="T29" s="38">
        <f t="shared" si="10"/>
        <v>63.000294328576857</v>
      </c>
    </row>
    <row r="30" spans="2:20" x14ac:dyDescent="0.25">
      <c r="B30" s="1"/>
      <c r="C30" s="1" t="str">
        <f>'Annual Returns'!$C$69</f>
        <v>Contribution Margin</v>
      </c>
      <c r="D30" s="1"/>
      <c r="E30" s="1"/>
      <c r="F30" s="1"/>
      <c r="G30" s="1"/>
      <c r="H30" s="38">
        <f>'Annual Returns'!$F$99</f>
        <v>306.52975787499997</v>
      </c>
      <c r="I30" s="38">
        <f>'Annual Returns'!$G$99</f>
        <v>354.13668125000004</v>
      </c>
      <c r="J30" s="38">
        <f>'Annual Returns'!$H$99</f>
        <v>453.99932662499998</v>
      </c>
      <c r="K30" s="38">
        <f>'Annual Returns'!$I$99</f>
        <v>564.06483874999981</v>
      </c>
      <c r="L30" s="38">
        <f>'Annual Returns'!$J$99</f>
        <v>723.38842749999981</v>
      </c>
      <c r="M30" s="38">
        <f>'Annual Returns'!$K$99</f>
        <v>664.88780250000002</v>
      </c>
      <c r="N30" s="38">
        <f>'Annual Returns'!$L$99</f>
        <v>674.66905250000002</v>
      </c>
      <c r="O30" s="38">
        <f>'Annual Returns'!$M$99</f>
        <v>702.64171374999978</v>
      </c>
      <c r="P30" s="38">
        <f>'Annual Returns'!$N$99</f>
        <v>688.27046374999964</v>
      </c>
      <c r="Q30" s="38">
        <f>'Annual Returns'!$O$99</f>
        <v>816.82280249999963</v>
      </c>
      <c r="S30" s="38">
        <f t="shared" si="9"/>
        <v>594.9410866999998</v>
      </c>
      <c r="T30" s="38">
        <f t="shared" si="10"/>
        <v>169.73013977536974</v>
      </c>
    </row>
    <row r="31" spans="2:20" x14ac:dyDescent="0.25">
      <c r="B31" s="1"/>
      <c r="C31" s="1" t="str">
        <f>'Annual Returns'!$C$70</f>
        <v>Fixed Cost</v>
      </c>
      <c r="D31" s="1"/>
      <c r="E31" s="1"/>
      <c r="F31" s="1"/>
      <c r="G31" s="1"/>
      <c r="H31" s="38">
        <f>'Annual Returns'!$F$100</f>
        <v>403.71250000000003</v>
      </c>
      <c r="I31" s="38">
        <f>'Annual Returns'!$G$100</f>
        <v>430.50250000000005</v>
      </c>
      <c r="J31" s="38">
        <f>'Annual Returns'!$H$100</f>
        <v>463.19000000000005</v>
      </c>
      <c r="K31" s="38">
        <f>'Annual Returns'!$I$100</f>
        <v>489.0025</v>
      </c>
      <c r="L31" s="38">
        <f>'Annual Returns'!$J$100</f>
        <v>494.64499999999998</v>
      </c>
      <c r="M31" s="38">
        <f>'Annual Returns'!$K$100</f>
        <v>473.97500000000002</v>
      </c>
      <c r="N31" s="38">
        <f>'Annual Returns'!$L$100</f>
        <v>473.97500000000002</v>
      </c>
      <c r="O31" s="38">
        <f>'Annual Returns'!$M$100</f>
        <v>474.95249999999999</v>
      </c>
      <c r="P31" s="38">
        <f>'Annual Returns'!$N$100</f>
        <v>489.0025</v>
      </c>
      <c r="Q31" s="38">
        <f>'Annual Returns'!$O$100</f>
        <v>494.64499999999998</v>
      </c>
      <c r="S31" s="38">
        <f t="shared" si="9"/>
        <v>468.76024999999993</v>
      </c>
      <c r="T31" s="38">
        <f t="shared" si="10"/>
        <v>29.773519238531762</v>
      </c>
    </row>
    <row r="32" spans="2:20" x14ac:dyDescent="0.25">
      <c r="B32" s="1"/>
      <c r="C32" s="1" t="str">
        <f>'Annual Returns'!$C$71</f>
        <v>Earnings</v>
      </c>
      <c r="D32" s="1"/>
      <c r="E32" s="1"/>
      <c r="F32" s="1"/>
      <c r="G32" s="1"/>
      <c r="H32" s="38">
        <f>'Annual Returns'!$F$101</f>
        <v>-97.182742125000004</v>
      </c>
      <c r="I32" s="38">
        <f>'Annual Returns'!$G$101</f>
        <v>-76.365818749999988</v>
      </c>
      <c r="J32" s="38">
        <f>'Annual Returns'!$H$101</f>
        <v>-9.1906733749999887</v>
      </c>
      <c r="K32" s="38">
        <f>'Annual Returns'!$I$101</f>
        <v>75.062338749999853</v>
      </c>
      <c r="L32" s="38">
        <f>'Annual Returns'!$J$101</f>
        <v>228.74342749999985</v>
      </c>
      <c r="M32" s="38">
        <f>'Annual Returns'!$K$101</f>
        <v>190.9128025</v>
      </c>
      <c r="N32" s="38">
        <f>'Annual Returns'!$L$101</f>
        <v>200.69405250000003</v>
      </c>
      <c r="O32" s="38">
        <f>'Annual Returns'!$M$101</f>
        <v>227.68921374999982</v>
      </c>
      <c r="P32" s="38">
        <f>'Annual Returns'!$N$101</f>
        <v>199.26796374999978</v>
      </c>
      <c r="Q32" s="38">
        <f>'Annual Returns'!$O$101</f>
        <v>322.17780249999976</v>
      </c>
      <c r="S32" s="38">
        <f t="shared" si="9"/>
        <v>126.18083669999992</v>
      </c>
      <c r="T32" s="38">
        <f t="shared" si="10"/>
        <v>143.82744432266162</v>
      </c>
    </row>
    <row r="33" spans="2:20" x14ac:dyDescent="0.25">
      <c r="B33" s="1"/>
      <c r="C33" s="1"/>
      <c r="D33" s="1"/>
      <c r="E33" s="1"/>
      <c r="F33" s="1"/>
      <c r="G33" s="1"/>
      <c r="S33" s="38"/>
      <c r="T33" s="38"/>
    </row>
    <row r="34" spans="2:20" x14ac:dyDescent="0.25">
      <c r="B34" s="1"/>
      <c r="C34" s="1" t="str">
        <f>'Annual Returns'!$C$73</f>
        <v>Net Return to Land</v>
      </c>
      <c r="D34" s="1"/>
      <c r="E34" s="1"/>
      <c r="F34" s="1"/>
      <c r="G34" s="1"/>
      <c r="H34" s="38">
        <f>'Annual Returns'!$F$103</f>
        <v>157.817257875</v>
      </c>
      <c r="I34" s="38">
        <f>'Annual Returns'!$G$103</f>
        <v>178.63418125000004</v>
      </c>
      <c r="J34" s="38">
        <f>'Annual Returns'!$H$103</f>
        <v>245.80932662500004</v>
      </c>
      <c r="K34" s="38">
        <f>'Annual Returns'!$I$103</f>
        <v>330.06233874999987</v>
      </c>
      <c r="L34" s="38">
        <f>'Annual Returns'!$J$103</f>
        <v>483.74342749999983</v>
      </c>
      <c r="M34" s="38">
        <f>'Annual Returns'!$K$103</f>
        <v>445.9128025</v>
      </c>
      <c r="N34" s="38">
        <f>'Annual Returns'!$L$103</f>
        <v>455.6940525</v>
      </c>
      <c r="O34" s="38">
        <f>'Annual Returns'!$M$103</f>
        <v>482.68921374999979</v>
      </c>
      <c r="P34" s="38">
        <f>'Annual Returns'!$N$103</f>
        <v>454.26796374999981</v>
      </c>
      <c r="Q34" s="38">
        <f>'Annual Returns'!$O$103</f>
        <v>577.17780249999987</v>
      </c>
      <c r="S34" s="38">
        <f t="shared" ref="S34" si="11">AVERAGE(H34:Q34)</f>
        <v>381.18083669999993</v>
      </c>
      <c r="T34" s="38">
        <f t="shared" ref="T34" si="12">STDEV(H34:Q34)</f>
        <v>143.82744432266162</v>
      </c>
    </row>
    <row r="36" spans="2:20" x14ac:dyDescent="0.25">
      <c r="C36" s="7" t="s">
        <v>217</v>
      </c>
      <c r="D36" s="7"/>
      <c r="E36" s="7"/>
      <c r="F36" s="7"/>
      <c r="H36" s="39">
        <f t="shared" ref="H36:H40" si="13">H28/(1+$C$1)</f>
        <v>690.60465116279067</v>
      </c>
      <c r="I36" s="39">
        <f>I28/(1+$C$1)^2</f>
        <v>578.80097349918879</v>
      </c>
      <c r="J36" s="39">
        <f>J28/(1+$C$1)^3</f>
        <v>580.54058133246133</v>
      </c>
      <c r="K36" s="39">
        <f>K28/(1+$C$1)^4</f>
        <v>610.81765215348889</v>
      </c>
      <c r="L36" s="39">
        <f>L28/(1+$C$1)^5</f>
        <v>702.0980148738804</v>
      </c>
      <c r="M36" s="39">
        <f>M28/(1+$C$1)^6</f>
        <v>621.04600694007695</v>
      </c>
      <c r="N36" s="39">
        <f>N28/(1+$C$1)^7</f>
        <v>583.61291213261859</v>
      </c>
      <c r="O36" s="39">
        <f>O28/(1+$C$1)^8</f>
        <v>499.37612749377041</v>
      </c>
      <c r="P36" s="39">
        <f>P28/(1+$C$1)^9</f>
        <v>490.25390964354835</v>
      </c>
      <c r="Q36" s="39">
        <f>Q28/(1+$C$1)^10</f>
        <v>534.38622446092381</v>
      </c>
      <c r="S36" s="39">
        <f t="shared" ref="S36:S40" si="14">AVERAGE(H36:Q36)</f>
        <v>589.1537053692748</v>
      </c>
      <c r="T36" s="39">
        <f t="shared" ref="T36:T40" si="15">STDEV(H36:Q36)</f>
        <v>71.171063363787653</v>
      </c>
    </row>
    <row r="37" spans="2:20" x14ac:dyDescent="0.25">
      <c r="C37" s="7" t="s">
        <v>218</v>
      </c>
      <c r="D37" s="7"/>
      <c r="E37" s="7"/>
      <c r="F37" s="7"/>
      <c r="H37" s="39">
        <f t="shared" si="13"/>
        <v>405.4606903488372</v>
      </c>
      <c r="I37" s="39">
        <f>I29/(1+$C$1)^2</f>
        <v>272.35495402920498</v>
      </c>
      <c r="J37" s="39">
        <f>J29/(1+$C$1)^3</f>
        <v>215.08902481542512</v>
      </c>
      <c r="K37" s="39">
        <f>K29/(1+$C$1)^4</f>
        <v>188.44560206926349</v>
      </c>
      <c r="L37" s="39">
        <f>L29/(1+$C$1)^5</f>
        <v>198.2155611565793</v>
      </c>
      <c r="M37" s="39">
        <f>M29/(1+$C$1)^6</f>
        <v>190.22429682317085</v>
      </c>
      <c r="N37" s="39">
        <f>N29/(1+$C$1)^7</f>
        <v>176.95283425411242</v>
      </c>
      <c r="O37" s="39">
        <f>O29/(1+$C$1)^8</f>
        <v>105.40334931879376</v>
      </c>
      <c r="P37" s="39">
        <f>P29/(1+$C$1)^9</f>
        <v>131.26341084976039</v>
      </c>
      <c r="Q37" s="39">
        <f>Q29/(1+$C$1)^10</f>
        <v>138.06876018973773</v>
      </c>
      <c r="S37" s="39">
        <f t="shared" si="14"/>
        <v>202.14784838548854</v>
      </c>
      <c r="T37" s="39">
        <f t="shared" si="15"/>
        <v>85.571950766457974</v>
      </c>
    </row>
    <row r="38" spans="2:20" x14ac:dyDescent="0.25">
      <c r="C38" s="7" t="s">
        <v>219</v>
      </c>
      <c r="D38" s="7"/>
      <c r="E38" s="7"/>
      <c r="F38" s="7"/>
      <c r="H38" s="39">
        <f t="shared" si="13"/>
        <v>285.14396081395347</v>
      </c>
      <c r="I38" s="39">
        <f>I30/(1+$C$1)^2</f>
        <v>306.44601946998381</v>
      </c>
      <c r="J38" s="39">
        <f>J30/(1+$C$1)^3</f>
        <v>365.45155651703624</v>
      </c>
      <c r="K38" s="39">
        <f>K30/(1+$C$1)^4</f>
        <v>422.37205008422535</v>
      </c>
      <c r="L38" s="39">
        <f>L30/(1+$C$1)^5</f>
        <v>503.88245371730102</v>
      </c>
      <c r="M38" s="39">
        <f>M30/(1+$C$1)^6</f>
        <v>430.82171011690627</v>
      </c>
      <c r="N38" s="39">
        <f>N30/(1+$C$1)^7</f>
        <v>406.66007787850623</v>
      </c>
      <c r="O38" s="39">
        <f>O30/(1+$C$1)^8</f>
        <v>393.97277817497667</v>
      </c>
      <c r="P38" s="39">
        <f>P30/(1+$C$1)^9</f>
        <v>358.99049879378788</v>
      </c>
      <c r="Q38" s="39">
        <f>Q30/(1+$C$1)^10</f>
        <v>396.31746427118605</v>
      </c>
      <c r="S38" s="39">
        <f t="shared" si="14"/>
        <v>387.00585698378632</v>
      </c>
      <c r="T38" s="39">
        <f t="shared" si="15"/>
        <v>62.776012190641012</v>
      </c>
    </row>
    <row r="39" spans="2:20" x14ac:dyDescent="0.25">
      <c r="C39" s="7" t="s">
        <v>220</v>
      </c>
      <c r="D39" s="7"/>
      <c r="E39" s="7"/>
      <c r="F39" s="7"/>
      <c r="H39" s="39">
        <f t="shared" si="13"/>
        <v>375.54651162790702</v>
      </c>
      <c r="I39" s="39">
        <f>I31/(1+$C$1)^2</f>
        <v>372.52785289345599</v>
      </c>
      <c r="J39" s="39">
        <f>J31/(1+$C$1)^3</f>
        <v>372.84968619115307</v>
      </c>
      <c r="K39" s="39">
        <f>K31/(1+$C$1)^4</f>
        <v>366.16533106197176</v>
      </c>
      <c r="L39" s="39">
        <f>L31/(1+$C$1)^5</f>
        <v>344.5492446988232</v>
      </c>
      <c r="M39" s="39">
        <f>M31/(1+$C$1)^6</f>
        <v>307.11756071455477</v>
      </c>
      <c r="N39" s="39">
        <f>N31/(1+$C$1)^7</f>
        <v>285.69075415307418</v>
      </c>
      <c r="O39" s="39">
        <f>O31/(1+$C$1)^8</f>
        <v>266.30692750576918</v>
      </c>
      <c r="P39" s="39">
        <f>P31/(1+$C$1)^9</f>
        <v>255.05562221855456</v>
      </c>
      <c r="Q39" s="39">
        <f>Q31/(1+$C$1)^10</f>
        <v>239.99875066467786</v>
      </c>
      <c r="S39" s="39">
        <f t="shared" si="14"/>
        <v>318.58082417299414</v>
      </c>
      <c r="T39" s="39">
        <f t="shared" si="15"/>
        <v>53.95002002700069</v>
      </c>
    </row>
    <row r="40" spans="2:20" x14ac:dyDescent="0.25">
      <c r="C40" s="7" t="s">
        <v>221</v>
      </c>
      <c r="D40" s="7"/>
      <c r="E40" s="7"/>
      <c r="F40" s="7"/>
      <c r="H40" s="39">
        <f t="shared" si="13"/>
        <v>-90.402550813953496</v>
      </c>
      <c r="I40" s="39">
        <f>I32/(1+$C$1)^2</f>
        <v>-66.081833423472148</v>
      </c>
      <c r="J40" s="39">
        <f>J32/(1+$C$1)^3</f>
        <v>-7.3981296741167366</v>
      </c>
      <c r="K40" s="39">
        <f>K32/(1+$C$1)^4</f>
        <v>56.206719022253601</v>
      </c>
      <c r="L40" s="39">
        <f>L32/(1+$C$1)^5</f>
        <v>159.33320901847785</v>
      </c>
      <c r="M40" s="39">
        <f>M32/(1+$C$1)^6</f>
        <v>123.70414940235149</v>
      </c>
      <c r="N40" s="39">
        <f>N32/(1+$C$1)^7</f>
        <v>120.96932372543208</v>
      </c>
      <c r="O40" s="39">
        <f>O32/(1+$C$1)^8</f>
        <v>127.66585066920752</v>
      </c>
      <c r="P40" s="39">
        <f>P32/(1+$C$1)^9</f>
        <v>103.93487657523339</v>
      </c>
      <c r="Q40" s="39">
        <f>Q32/(1+$C$1)^10</f>
        <v>156.31871360650825</v>
      </c>
      <c r="S40" s="39">
        <f t="shared" si="14"/>
        <v>68.425032810792175</v>
      </c>
      <c r="T40" s="39">
        <f t="shared" si="15"/>
        <v>91.768694682813674</v>
      </c>
    </row>
    <row r="41" spans="2:20" x14ac:dyDescent="0.25">
      <c r="C41" s="7"/>
      <c r="D41" s="7"/>
      <c r="E41" s="7"/>
      <c r="F41" s="7"/>
      <c r="S41" s="39"/>
      <c r="T41" s="39"/>
    </row>
    <row r="42" spans="2:20" x14ac:dyDescent="0.25">
      <c r="C42" s="7" t="s">
        <v>222</v>
      </c>
      <c r="D42" s="7"/>
      <c r="E42" s="7"/>
      <c r="F42" s="7"/>
      <c r="H42" s="39">
        <f>H34/(1+$C$1)</f>
        <v>146.80675151162791</v>
      </c>
      <c r="I42" s="39">
        <f>I34/(1+$C$1)^2</f>
        <v>154.57798269334779</v>
      </c>
      <c r="J42" s="39">
        <f>J34/(1+$C$1)^3</f>
        <v>197.86681555083206</v>
      </c>
      <c r="K42" s="39">
        <f>K34/(1+$C$1)^4</f>
        <v>247.15085411522921</v>
      </c>
      <c r="L42" s="39">
        <f>L34/(1+$C$1)^5</f>
        <v>336.95566026775742</v>
      </c>
      <c r="M42" s="39">
        <f>M34/(1+$C$1)^6</f>
        <v>288.93433661098373</v>
      </c>
      <c r="N42" s="39">
        <f>N34/(1+$C$1)^7</f>
        <v>274.67182345439227</v>
      </c>
      <c r="O42" s="39">
        <f>O34/(1+$C$1)^8</f>
        <v>270.64492018451932</v>
      </c>
      <c r="P42" s="39">
        <f>P34/(1+$C$1)^9</f>
        <v>236.93866217087231</v>
      </c>
      <c r="Q42" s="39">
        <f>Q34/(1+$C$1)^10</f>
        <v>280.04316532338174</v>
      </c>
      <c r="S42" s="39">
        <f t="shared" ref="S42" si="16">AVERAGE(H42:Q42)</f>
        <v>243.45909718829438</v>
      </c>
      <c r="T42" s="39">
        <f t="shared" ref="T42" si="17">STDEV(H42:Q42)</f>
        <v>60.770635935530649</v>
      </c>
    </row>
    <row r="44" spans="2:20" x14ac:dyDescent="0.25">
      <c r="S44" s="3"/>
    </row>
    <row r="45" spans="2:20" x14ac:dyDescent="0.25">
      <c r="S45" s="3"/>
    </row>
    <row r="46" spans="2:20" x14ac:dyDescent="0.25">
      <c r="T46" s="40"/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31"/>
  <sheetViews>
    <sheetView zoomScale="150" zoomScaleNormal="150" workbookViewId="0"/>
  </sheetViews>
  <sheetFormatPr defaultRowHeight="15" x14ac:dyDescent="0.25"/>
  <cols>
    <col min="5" max="5" width="25.7109375" customWidth="1"/>
    <col min="6" max="6" width="10.7109375" customWidth="1"/>
    <col min="7" max="7" width="4.7109375" customWidth="1"/>
    <col min="8" max="8" width="25.7109375" customWidth="1"/>
    <col min="9" max="9" width="10.7109375" customWidth="1"/>
    <col min="10" max="10" width="4.7109375" customWidth="1"/>
    <col min="11" max="11" width="25.7109375" customWidth="1"/>
    <col min="12" max="12" width="10.7109375" customWidth="1"/>
    <col min="13" max="13" width="4.7109375" customWidth="1"/>
    <col min="14" max="14" width="25.7109375" customWidth="1"/>
    <col min="15" max="15" width="10.7109375" customWidth="1"/>
    <col min="16" max="16" width="4.7109375" customWidth="1"/>
    <col min="17" max="17" width="25.7109375" customWidth="1"/>
    <col min="18" max="18" width="10.7109375" customWidth="1"/>
    <col min="19" max="19" width="4.7109375" customWidth="1"/>
    <col min="20" max="20" width="25.7109375" customWidth="1"/>
    <col min="21" max="21" width="10.7109375" customWidth="1"/>
    <col min="22" max="22" width="4.7109375" customWidth="1"/>
    <col min="23" max="23" width="25.7109375" customWidth="1"/>
    <col min="24" max="24" width="10.7109375" customWidth="1"/>
    <col min="25" max="25" width="4.7109375" customWidth="1"/>
    <col min="26" max="26" width="25.7109375" customWidth="1"/>
    <col min="27" max="27" width="10.7109375" customWidth="1"/>
    <col min="28" max="28" width="4.7109375" customWidth="1"/>
    <col min="29" max="29" width="25.7109375" customWidth="1"/>
    <col min="30" max="30" width="10.7109375" customWidth="1"/>
    <col min="31" max="31" width="4.7109375" customWidth="1"/>
    <col min="32" max="32" width="25.7109375" customWidth="1"/>
    <col min="33" max="33" width="10.7109375" customWidth="1"/>
  </cols>
  <sheetData>
    <row r="1" spans="1:33" x14ac:dyDescent="0.25">
      <c r="A1" s="1" t="s">
        <v>177</v>
      </c>
    </row>
    <row r="3" spans="1:33" x14ac:dyDescent="0.25">
      <c r="B3" s="7" t="s">
        <v>54</v>
      </c>
    </row>
    <row r="5" spans="1:33" x14ac:dyDescent="0.25">
      <c r="E5" s="42" t="s">
        <v>55</v>
      </c>
      <c r="F5" s="42"/>
      <c r="G5" s="6"/>
      <c r="H5" s="42" t="s">
        <v>56</v>
      </c>
      <c r="I5" s="42"/>
      <c r="J5" s="6"/>
      <c r="K5" s="42" t="s">
        <v>57</v>
      </c>
      <c r="L5" s="42"/>
      <c r="M5" s="6"/>
      <c r="N5" s="42" t="s">
        <v>58</v>
      </c>
      <c r="O5" s="42"/>
      <c r="P5" s="6"/>
      <c r="Q5" s="42" t="s">
        <v>59</v>
      </c>
      <c r="R5" s="42"/>
      <c r="S5" s="6"/>
      <c r="T5" s="42" t="s">
        <v>60</v>
      </c>
      <c r="U5" s="42"/>
      <c r="V5" s="6"/>
      <c r="W5" s="42" t="s">
        <v>61</v>
      </c>
      <c r="X5" s="42"/>
      <c r="Z5" s="42" t="s">
        <v>62</v>
      </c>
      <c r="AA5" s="42"/>
      <c r="AC5" s="42" t="s">
        <v>63</v>
      </c>
      <c r="AD5" s="42"/>
      <c r="AF5" s="42" t="s">
        <v>64</v>
      </c>
      <c r="AG5" s="42"/>
    </row>
    <row r="6" spans="1:33" x14ac:dyDescent="0.25">
      <c r="E6" s="5" t="s">
        <v>66</v>
      </c>
      <c r="F6" s="8" t="s">
        <v>74</v>
      </c>
      <c r="G6" s="8"/>
      <c r="H6" s="5" t="s">
        <v>66</v>
      </c>
      <c r="I6" s="8" t="s">
        <v>74</v>
      </c>
      <c r="J6" s="8"/>
      <c r="K6" s="5" t="s">
        <v>66</v>
      </c>
      <c r="L6" s="8" t="s">
        <v>74</v>
      </c>
      <c r="M6" s="8"/>
      <c r="N6" s="5" t="s">
        <v>66</v>
      </c>
      <c r="O6" s="8" t="s">
        <v>65</v>
      </c>
      <c r="P6" s="8"/>
      <c r="Q6" s="5" t="s">
        <v>66</v>
      </c>
      <c r="R6" s="8" t="s">
        <v>74</v>
      </c>
      <c r="S6" s="8"/>
      <c r="T6" s="5" t="s">
        <v>66</v>
      </c>
      <c r="U6" s="4" t="s">
        <v>74</v>
      </c>
      <c r="V6" s="4"/>
      <c r="W6" s="5" t="s">
        <v>66</v>
      </c>
      <c r="X6" s="8" t="s">
        <v>74</v>
      </c>
      <c r="Y6" s="4"/>
      <c r="Z6" s="5" t="s">
        <v>66</v>
      </c>
      <c r="AA6" s="8" t="s">
        <v>74</v>
      </c>
      <c r="AB6" s="4"/>
      <c r="AC6" s="5" t="s">
        <v>66</v>
      </c>
      <c r="AD6" s="8" t="s">
        <v>74</v>
      </c>
      <c r="AE6" s="4"/>
      <c r="AF6" s="5" t="s">
        <v>66</v>
      </c>
      <c r="AG6" s="8" t="s">
        <v>74</v>
      </c>
    </row>
    <row r="8" spans="1:33" x14ac:dyDescent="0.25">
      <c r="C8" t="s">
        <v>70</v>
      </c>
      <c r="E8" t="s">
        <v>0</v>
      </c>
      <c r="F8" s="29">
        <v>25</v>
      </c>
      <c r="G8" s="9"/>
      <c r="H8" t="s">
        <v>67</v>
      </c>
      <c r="I8" s="29">
        <v>25</v>
      </c>
      <c r="J8" s="9"/>
      <c r="K8" t="s">
        <v>0</v>
      </c>
      <c r="L8" s="29">
        <v>25</v>
      </c>
      <c r="M8" s="9"/>
      <c r="N8" t="s">
        <v>67</v>
      </c>
      <c r="O8" s="29">
        <v>25</v>
      </c>
      <c r="P8" s="9"/>
      <c r="Q8" t="s">
        <v>0</v>
      </c>
      <c r="R8" s="29">
        <v>25</v>
      </c>
      <c r="S8" s="9"/>
      <c r="T8" t="s">
        <v>67</v>
      </c>
      <c r="U8" s="29">
        <v>25</v>
      </c>
      <c r="W8" t="s">
        <v>0</v>
      </c>
      <c r="X8" s="29">
        <v>25</v>
      </c>
      <c r="Z8" t="s">
        <v>67</v>
      </c>
      <c r="AA8" s="29">
        <v>25</v>
      </c>
      <c r="AC8" t="s">
        <v>0</v>
      </c>
      <c r="AD8" s="29">
        <v>25</v>
      </c>
      <c r="AF8" t="s">
        <v>67</v>
      </c>
      <c r="AG8" s="29">
        <v>25</v>
      </c>
    </row>
    <row r="9" spans="1:33" x14ac:dyDescent="0.25">
      <c r="C9" t="s">
        <v>71</v>
      </c>
      <c r="E9" t="s">
        <v>67</v>
      </c>
      <c r="F9" s="29">
        <v>25</v>
      </c>
      <c r="G9" s="9"/>
      <c r="H9" t="s">
        <v>0</v>
      </c>
      <c r="I9" s="29">
        <v>25</v>
      </c>
      <c r="J9" s="9"/>
      <c r="K9" t="s">
        <v>67</v>
      </c>
      <c r="L9" s="29">
        <v>25</v>
      </c>
      <c r="M9" s="9"/>
      <c r="N9" t="s">
        <v>0</v>
      </c>
      <c r="O9" s="29">
        <v>25</v>
      </c>
      <c r="P9" s="9"/>
      <c r="Q9" t="s">
        <v>67</v>
      </c>
      <c r="R9" s="29">
        <v>25</v>
      </c>
      <c r="S9" s="9"/>
      <c r="T9" t="s">
        <v>0</v>
      </c>
      <c r="U9" s="29">
        <v>25</v>
      </c>
      <c r="W9" t="s">
        <v>67</v>
      </c>
      <c r="X9" s="29">
        <v>25</v>
      </c>
      <c r="Z9" t="s">
        <v>0</v>
      </c>
      <c r="AA9" s="29">
        <v>25</v>
      </c>
      <c r="AC9" t="s">
        <v>67</v>
      </c>
      <c r="AD9" s="29">
        <v>25</v>
      </c>
      <c r="AF9" t="s">
        <v>0</v>
      </c>
      <c r="AG9" s="29">
        <v>25</v>
      </c>
    </row>
    <row r="10" spans="1:33" x14ac:dyDescent="0.25">
      <c r="C10" t="s">
        <v>72</v>
      </c>
      <c r="E10" t="s">
        <v>0</v>
      </c>
      <c r="F10" s="29">
        <v>25</v>
      </c>
      <c r="G10" s="2"/>
      <c r="H10" t="s">
        <v>67</v>
      </c>
      <c r="I10" s="29">
        <v>25</v>
      </c>
      <c r="J10" s="2"/>
      <c r="K10" t="s">
        <v>0</v>
      </c>
      <c r="L10" s="29">
        <v>25</v>
      </c>
      <c r="M10" s="9"/>
      <c r="N10" t="s">
        <v>67</v>
      </c>
      <c r="O10" s="29">
        <v>25</v>
      </c>
      <c r="P10" s="9"/>
      <c r="Q10" t="s">
        <v>0</v>
      </c>
      <c r="R10" s="29">
        <v>25</v>
      </c>
      <c r="S10" s="9"/>
      <c r="T10" t="s">
        <v>67</v>
      </c>
      <c r="U10" s="29">
        <v>25</v>
      </c>
      <c r="W10" t="s">
        <v>0</v>
      </c>
      <c r="X10" s="29">
        <v>25</v>
      </c>
      <c r="Z10" t="s">
        <v>67</v>
      </c>
      <c r="AA10" s="29">
        <v>25</v>
      </c>
      <c r="AC10" t="s">
        <v>0</v>
      </c>
      <c r="AD10" s="29">
        <v>25</v>
      </c>
      <c r="AF10" t="s">
        <v>67</v>
      </c>
      <c r="AG10" s="29">
        <v>25</v>
      </c>
    </row>
    <row r="11" spans="1:33" x14ac:dyDescent="0.25">
      <c r="C11" t="s">
        <v>73</v>
      </c>
      <c r="E11" t="s">
        <v>67</v>
      </c>
      <c r="F11" s="29">
        <v>25</v>
      </c>
      <c r="G11" s="2"/>
      <c r="H11" t="s">
        <v>0</v>
      </c>
      <c r="I11" s="29">
        <v>25</v>
      </c>
      <c r="J11" s="2"/>
      <c r="K11" t="s">
        <v>67</v>
      </c>
      <c r="L11" s="29">
        <v>25</v>
      </c>
      <c r="M11" s="9"/>
      <c r="N11" t="s">
        <v>0</v>
      </c>
      <c r="O11" s="29">
        <v>25</v>
      </c>
      <c r="P11" s="9"/>
      <c r="Q11" t="s">
        <v>67</v>
      </c>
      <c r="R11" s="29">
        <v>25</v>
      </c>
      <c r="S11" s="9"/>
      <c r="T11" t="s">
        <v>0</v>
      </c>
      <c r="U11" s="29">
        <v>25</v>
      </c>
      <c r="W11" t="s">
        <v>67</v>
      </c>
      <c r="X11" s="29">
        <v>25</v>
      </c>
      <c r="Z11" t="s">
        <v>0</v>
      </c>
      <c r="AA11" s="29">
        <v>25</v>
      </c>
      <c r="AC11" t="s">
        <v>67</v>
      </c>
      <c r="AD11" s="29">
        <v>25</v>
      </c>
      <c r="AF11" t="s">
        <v>0</v>
      </c>
      <c r="AG11" s="29">
        <v>25</v>
      </c>
    </row>
    <row r="14" spans="1:33" x14ac:dyDescent="0.25">
      <c r="B14" s="7" t="s">
        <v>176</v>
      </c>
    </row>
    <row r="16" spans="1:33" x14ac:dyDescent="0.25">
      <c r="E16" s="42" t="s">
        <v>55</v>
      </c>
      <c r="F16" s="42"/>
      <c r="G16" s="6"/>
      <c r="H16" s="42" t="s">
        <v>56</v>
      </c>
      <c r="I16" s="42"/>
      <c r="K16" s="42" t="s">
        <v>57</v>
      </c>
      <c r="L16" s="42"/>
      <c r="N16" s="42" t="s">
        <v>58</v>
      </c>
      <c r="O16" s="42"/>
      <c r="Q16" s="42" t="s">
        <v>59</v>
      </c>
      <c r="R16" s="42"/>
      <c r="S16" s="6"/>
      <c r="T16" s="42" t="s">
        <v>60</v>
      </c>
      <c r="U16" s="42"/>
      <c r="W16" s="42" t="s">
        <v>61</v>
      </c>
      <c r="X16" s="42"/>
      <c r="Z16" s="42" t="s">
        <v>62</v>
      </c>
      <c r="AA16" s="42"/>
      <c r="AC16" s="42" t="s">
        <v>63</v>
      </c>
      <c r="AD16" s="42"/>
      <c r="AF16" s="42" t="s">
        <v>64</v>
      </c>
      <c r="AG16" s="42"/>
    </row>
    <row r="17" spans="2:33" x14ac:dyDescent="0.25">
      <c r="E17" t="s">
        <v>66</v>
      </c>
      <c r="F17" s="4" t="s">
        <v>74</v>
      </c>
      <c r="G17" s="4"/>
      <c r="H17" t="s">
        <v>66</v>
      </c>
      <c r="I17" s="8" t="s">
        <v>74</v>
      </c>
      <c r="K17" t="s">
        <v>66</v>
      </c>
      <c r="L17" s="8" t="s">
        <v>74</v>
      </c>
      <c r="N17" t="s">
        <v>66</v>
      </c>
      <c r="O17" s="8" t="s">
        <v>74</v>
      </c>
      <c r="Q17" t="s">
        <v>66</v>
      </c>
      <c r="R17" s="8" t="s">
        <v>74</v>
      </c>
      <c r="S17" s="8"/>
      <c r="T17" s="5" t="s">
        <v>66</v>
      </c>
      <c r="U17" s="8" t="s">
        <v>74</v>
      </c>
      <c r="W17" s="5" t="s">
        <v>66</v>
      </c>
      <c r="X17" s="8" t="s">
        <v>74</v>
      </c>
      <c r="Z17" t="s">
        <v>66</v>
      </c>
      <c r="AA17" s="8" t="s">
        <v>74</v>
      </c>
      <c r="AC17" t="s">
        <v>66</v>
      </c>
      <c r="AD17" s="8" t="s">
        <v>74</v>
      </c>
      <c r="AF17" t="s">
        <v>66</v>
      </c>
      <c r="AG17" s="8" t="s">
        <v>74</v>
      </c>
    </row>
    <row r="19" spans="2:33" x14ac:dyDescent="0.25">
      <c r="C19" t="s">
        <v>70</v>
      </c>
      <c r="E19" t="s">
        <v>0</v>
      </c>
      <c r="F19" s="29">
        <v>25</v>
      </c>
      <c r="G19" s="2"/>
      <c r="H19" t="s">
        <v>67</v>
      </c>
      <c r="I19" s="29">
        <v>25</v>
      </c>
      <c r="K19" t="s">
        <v>0</v>
      </c>
      <c r="L19" s="29">
        <v>25</v>
      </c>
      <c r="N19" t="s">
        <v>68</v>
      </c>
      <c r="O19" s="29">
        <v>25</v>
      </c>
      <c r="Q19" t="s">
        <v>69</v>
      </c>
      <c r="R19" s="29">
        <v>25</v>
      </c>
      <c r="T19" t="s">
        <v>78</v>
      </c>
      <c r="U19" s="29">
        <v>25</v>
      </c>
      <c r="W19" t="s">
        <v>75</v>
      </c>
      <c r="X19" s="29">
        <v>25</v>
      </c>
      <c r="Z19" t="s">
        <v>76</v>
      </c>
      <c r="AA19" s="29">
        <v>25</v>
      </c>
      <c r="AC19" t="s">
        <v>77</v>
      </c>
      <c r="AD19" s="29">
        <v>25</v>
      </c>
      <c r="AF19" t="s">
        <v>78</v>
      </c>
      <c r="AG19" s="29">
        <v>25</v>
      </c>
    </row>
    <row r="20" spans="2:33" x14ac:dyDescent="0.25">
      <c r="C20" t="s">
        <v>71</v>
      </c>
      <c r="E20" t="s">
        <v>67</v>
      </c>
      <c r="F20" s="29">
        <v>25</v>
      </c>
      <c r="G20" s="2"/>
      <c r="H20" t="s">
        <v>0</v>
      </c>
      <c r="I20" s="29">
        <v>25</v>
      </c>
      <c r="K20" t="s">
        <v>68</v>
      </c>
      <c r="L20" s="29">
        <v>25</v>
      </c>
      <c r="N20" t="s">
        <v>69</v>
      </c>
      <c r="O20" s="29">
        <v>25</v>
      </c>
      <c r="Q20" t="s">
        <v>78</v>
      </c>
      <c r="R20" s="29">
        <v>25</v>
      </c>
      <c r="T20" t="s">
        <v>75</v>
      </c>
      <c r="U20" s="29">
        <v>25</v>
      </c>
      <c r="W20" t="s">
        <v>76</v>
      </c>
      <c r="X20" s="29">
        <v>25</v>
      </c>
      <c r="Z20" t="s">
        <v>77</v>
      </c>
      <c r="AA20" s="29">
        <v>25</v>
      </c>
      <c r="AC20" t="s">
        <v>78</v>
      </c>
      <c r="AD20" s="29">
        <v>25</v>
      </c>
      <c r="AF20" t="s">
        <v>78</v>
      </c>
      <c r="AG20" s="29">
        <v>25</v>
      </c>
    </row>
    <row r="21" spans="2:33" x14ac:dyDescent="0.25">
      <c r="C21" t="s">
        <v>72</v>
      </c>
      <c r="E21" t="s">
        <v>0</v>
      </c>
      <c r="F21" s="29">
        <v>25</v>
      </c>
      <c r="G21" s="2"/>
      <c r="H21" t="s">
        <v>68</v>
      </c>
      <c r="I21" s="29">
        <v>25</v>
      </c>
      <c r="K21" t="s">
        <v>69</v>
      </c>
      <c r="L21" s="29">
        <v>25</v>
      </c>
      <c r="N21" t="s">
        <v>78</v>
      </c>
      <c r="O21" s="29">
        <v>25</v>
      </c>
      <c r="Q21" t="s">
        <v>75</v>
      </c>
      <c r="R21" s="29">
        <v>25</v>
      </c>
      <c r="T21" t="s">
        <v>76</v>
      </c>
      <c r="U21" s="29">
        <v>25</v>
      </c>
      <c r="W21" t="s">
        <v>77</v>
      </c>
      <c r="X21" s="29">
        <v>25</v>
      </c>
      <c r="Z21" t="s">
        <v>78</v>
      </c>
      <c r="AA21" s="29">
        <v>25</v>
      </c>
      <c r="AC21" t="s">
        <v>78</v>
      </c>
      <c r="AD21" s="29">
        <v>25</v>
      </c>
      <c r="AF21" t="s">
        <v>75</v>
      </c>
      <c r="AG21" s="29">
        <v>25</v>
      </c>
    </row>
    <row r="22" spans="2:33" x14ac:dyDescent="0.25">
      <c r="C22" t="s">
        <v>73</v>
      </c>
      <c r="E22" t="s">
        <v>68</v>
      </c>
      <c r="F22" s="29">
        <v>25</v>
      </c>
      <c r="G22" s="2"/>
      <c r="H22" t="s">
        <v>69</v>
      </c>
      <c r="I22" s="29">
        <v>25</v>
      </c>
      <c r="K22" t="s">
        <v>78</v>
      </c>
      <c r="L22" s="29">
        <v>25</v>
      </c>
      <c r="N22" t="s">
        <v>75</v>
      </c>
      <c r="O22" s="29">
        <v>25</v>
      </c>
      <c r="Q22" t="s">
        <v>76</v>
      </c>
      <c r="R22" s="29">
        <v>25</v>
      </c>
      <c r="T22" t="s">
        <v>77</v>
      </c>
      <c r="U22" s="29">
        <v>25</v>
      </c>
      <c r="W22" t="s">
        <v>78</v>
      </c>
      <c r="X22" s="29">
        <v>25</v>
      </c>
      <c r="Z22" t="s">
        <v>78</v>
      </c>
      <c r="AA22" s="29">
        <v>25</v>
      </c>
      <c r="AC22" t="s">
        <v>75</v>
      </c>
      <c r="AD22" s="29">
        <v>25</v>
      </c>
      <c r="AF22" t="s">
        <v>76</v>
      </c>
      <c r="AG22" s="29">
        <v>25</v>
      </c>
    </row>
    <row r="31" spans="2:33" x14ac:dyDescent="0.25">
      <c r="B31" s="7"/>
    </row>
  </sheetData>
  <sheetProtection sheet="1" objects="1" scenarios="1"/>
  <mergeCells count="20">
    <mergeCell ref="Z5:AA5"/>
    <mergeCell ref="AC5:AD5"/>
    <mergeCell ref="AF5:AG5"/>
    <mergeCell ref="T16:U16"/>
    <mergeCell ref="W16:X16"/>
    <mergeCell ref="Z16:AA16"/>
    <mergeCell ref="AC16:AD16"/>
    <mergeCell ref="AF16:AG16"/>
    <mergeCell ref="W5:X5"/>
    <mergeCell ref="E5:F5"/>
    <mergeCell ref="H5:I5"/>
    <mergeCell ref="E16:F16"/>
    <mergeCell ref="K5:L5"/>
    <mergeCell ref="N5:O5"/>
    <mergeCell ref="H16:I16"/>
    <mergeCell ref="Q5:R5"/>
    <mergeCell ref="K16:L16"/>
    <mergeCell ref="N16:O16"/>
    <mergeCell ref="Q16:R16"/>
    <mergeCell ref="T5:U5"/>
  </mergeCells>
  <printOptions headings="1" gridLines="1"/>
  <pageMargins left="0.7" right="0.7" top="0.75" bottom="0.75" header="0.3" footer="0.3"/>
  <pageSetup scale="2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16"/>
  <sheetViews>
    <sheetView zoomScale="150" zoomScaleNormal="150" workbookViewId="0"/>
  </sheetViews>
  <sheetFormatPr defaultRowHeight="15" x14ac:dyDescent="0.25"/>
  <sheetData>
    <row r="1" spans="1:10" x14ac:dyDescent="0.25">
      <c r="A1" s="1" t="s">
        <v>53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198</v>
      </c>
      <c r="J5" s="3"/>
    </row>
    <row r="6" spans="1:10" x14ac:dyDescent="0.25">
      <c r="B6" t="s">
        <v>2</v>
      </c>
      <c r="I6" s="18">
        <v>4.5999999999999996</v>
      </c>
      <c r="J6" s="2"/>
    </row>
    <row r="7" spans="1:10" x14ac:dyDescent="0.25">
      <c r="B7" t="s">
        <v>9</v>
      </c>
      <c r="J7" s="3">
        <f>I5*I6</f>
        <v>910.8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25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3">
        <f>SUM(J7:J10)</f>
        <v>935.8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7</v>
      </c>
    </row>
    <row r="18" spans="2:10" x14ac:dyDescent="0.25">
      <c r="C18" t="s">
        <v>13</v>
      </c>
      <c r="G18" s="18">
        <v>3.75</v>
      </c>
    </row>
    <row r="19" spans="2:10" x14ac:dyDescent="0.25">
      <c r="C19" t="s">
        <v>14</v>
      </c>
      <c r="G19" s="19">
        <v>33000</v>
      </c>
    </row>
    <row r="20" spans="2:10" x14ac:dyDescent="0.25">
      <c r="C20" t="s">
        <v>8</v>
      </c>
      <c r="H20" s="3">
        <f>G18*(G19/1000)</f>
        <v>123.75</v>
      </c>
      <c r="I20" s="3">
        <v>0</v>
      </c>
      <c r="J20" s="3">
        <f>SUM(H20, I20)</f>
        <v>123.75</v>
      </c>
    </row>
    <row r="22" spans="2:10" x14ac:dyDescent="0.25">
      <c r="B22" t="s">
        <v>15</v>
      </c>
    </row>
    <row r="23" spans="2:10" x14ac:dyDescent="0.25">
      <c r="C23" t="s">
        <v>16</v>
      </c>
      <c r="G23" s="17">
        <v>200</v>
      </c>
    </row>
    <row r="24" spans="2:10" x14ac:dyDescent="0.25">
      <c r="C24" t="s">
        <v>170</v>
      </c>
      <c r="G24" s="22">
        <v>0.55300000000000005</v>
      </c>
    </row>
    <row r="25" spans="2:10" x14ac:dyDescent="0.25">
      <c r="C25" t="s">
        <v>18</v>
      </c>
      <c r="H25" s="3">
        <f>G23*G24</f>
        <v>110.60000000000001</v>
      </c>
      <c r="I25" s="3">
        <v>0</v>
      </c>
      <c r="J25" s="3">
        <f>SUM(H25, I25)</f>
        <v>110.60000000000001</v>
      </c>
    </row>
    <row r="27" spans="2:10" x14ac:dyDescent="0.25">
      <c r="B27" t="s">
        <v>19</v>
      </c>
    </row>
    <row r="28" spans="2:10" x14ac:dyDescent="0.25">
      <c r="C28" t="s">
        <v>16</v>
      </c>
      <c r="G28" s="17">
        <v>73.3</v>
      </c>
    </row>
    <row r="29" spans="2:10" x14ac:dyDescent="0.25">
      <c r="C29" t="s">
        <v>170</v>
      </c>
      <c r="G29" s="22">
        <v>0.85399999999999998</v>
      </c>
    </row>
    <row r="30" spans="2:10" x14ac:dyDescent="0.25">
      <c r="C30" t="s">
        <v>20</v>
      </c>
      <c r="H30" s="3">
        <f>G28*G29</f>
        <v>62.598199999999999</v>
      </c>
      <c r="I30" s="3">
        <v>0</v>
      </c>
      <c r="J30" s="3">
        <f>SUM(H30, I30)</f>
        <v>62.598199999999999</v>
      </c>
    </row>
    <row r="32" spans="2:10" x14ac:dyDescent="0.25">
      <c r="B32" t="s">
        <v>21</v>
      </c>
    </row>
    <row r="33" spans="1:10" x14ac:dyDescent="0.25">
      <c r="C33" t="s">
        <v>16</v>
      </c>
      <c r="G33" s="17">
        <v>73.5</v>
      </c>
    </row>
    <row r="34" spans="1:10" x14ac:dyDescent="0.25">
      <c r="C34" t="s">
        <v>170</v>
      </c>
      <c r="G34" s="22">
        <v>0.41</v>
      </c>
    </row>
    <row r="35" spans="1:10" x14ac:dyDescent="0.25">
      <c r="C35" t="s">
        <v>22</v>
      </c>
      <c r="H35" s="3">
        <f>G33*G34</f>
        <v>30.134999999999998</v>
      </c>
      <c r="I35" s="3">
        <v>0</v>
      </c>
      <c r="J35" s="3">
        <f>SUM(H35, I35)</f>
        <v>30.134999999999998</v>
      </c>
    </row>
    <row r="36" spans="1:10" x14ac:dyDescent="0.25">
      <c r="H36" s="3"/>
      <c r="I36" s="3"/>
      <c r="J36" s="3"/>
    </row>
    <row r="37" spans="1:10" x14ac:dyDescent="0.25">
      <c r="B37" t="s">
        <v>128</v>
      </c>
      <c r="H37" s="3"/>
      <c r="I37" s="3"/>
      <c r="J37" s="3"/>
    </row>
    <row r="38" spans="1:10" x14ac:dyDescent="0.25">
      <c r="C38" t="s">
        <v>16</v>
      </c>
      <c r="G38" s="17">
        <v>33.299999999999997</v>
      </c>
      <c r="H38" s="3"/>
      <c r="I38" s="3"/>
      <c r="J38" s="3"/>
    </row>
    <row r="39" spans="1:10" x14ac:dyDescent="0.25">
      <c r="C39" t="s">
        <v>170</v>
      </c>
      <c r="G39" s="22">
        <v>0.27300000000000002</v>
      </c>
      <c r="H39" s="3"/>
      <c r="I39" s="3"/>
      <c r="J39" s="3"/>
    </row>
    <row r="40" spans="1:10" x14ac:dyDescent="0.25">
      <c r="A40" s="16"/>
      <c r="C40" t="s">
        <v>129</v>
      </c>
      <c r="H40" s="3">
        <f>G38*G39</f>
        <v>9.0908999999999995</v>
      </c>
      <c r="I40" s="3">
        <v>0</v>
      </c>
      <c r="J40" s="3">
        <f>SUM(H40, I40)</f>
        <v>9.0908999999999995</v>
      </c>
    </row>
    <row r="41" spans="1:10" x14ac:dyDescent="0.25">
      <c r="A41" s="16"/>
      <c r="H41" s="3"/>
      <c r="I41" s="3"/>
      <c r="J41" s="3"/>
    </row>
    <row r="42" spans="1:10" x14ac:dyDescent="0.25">
      <c r="B42" t="s">
        <v>23</v>
      </c>
      <c r="H42" s="18">
        <v>18</v>
      </c>
      <c r="I42" s="3">
        <v>0</v>
      </c>
      <c r="J42" s="3">
        <f t="shared" ref="J42:J48" si="0">SUM(H42, I42)</f>
        <v>18</v>
      </c>
    </row>
    <row r="43" spans="1:10" x14ac:dyDescent="0.25">
      <c r="B43" t="s">
        <v>24</v>
      </c>
      <c r="H43" s="18">
        <v>110</v>
      </c>
      <c r="I43" s="3">
        <v>0</v>
      </c>
      <c r="J43" s="3">
        <f t="shared" si="0"/>
        <v>110</v>
      </c>
    </row>
    <row r="44" spans="1:10" x14ac:dyDescent="0.25">
      <c r="B44" t="s">
        <v>25</v>
      </c>
      <c r="H44" s="18">
        <v>0</v>
      </c>
      <c r="I44" s="3">
        <v>0</v>
      </c>
      <c r="J44" s="3">
        <f t="shared" si="0"/>
        <v>0</v>
      </c>
    </row>
    <row r="45" spans="1:10" x14ac:dyDescent="0.25">
      <c r="B45" t="s">
        <v>26</v>
      </c>
      <c r="H45" s="18">
        <v>25</v>
      </c>
      <c r="I45" s="3">
        <v>0</v>
      </c>
      <c r="J45" s="3">
        <f t="shared" si="0"/>
        <v>25</v>
      </c>
    </row>
    <row r="46" spans="1:10" x14ac:dyDescent="0.25">
      <c r="B46" t="s">
        <v>27</v>
      </c>
      <c r="H46" s="18">
        <v>10</v>
      </c>
      <c r="I46" s="3">
        <v>0</v>
      </c>
      <c r="J46" s="3">
        <f t="shared" si="0"/>
        <v>10</v>
      </c>
    </row>
    <row r="47" spans="1:10" x14ac:dyDescent="0.25">
      <c r="B47" t="s">
        <v>28</v>
      </c>
      <c r="H47" s="18">
        <v>15</v>
      </c>
      <c r="I47" s="3">
        <v>0</v>
      </c>
      <c r="J47" s="3">
        <f t="shared" si="0"/>
        <v>15</v>
      </c>
    </row>
    <row r="48" spans="1:10" x14ac:dyDescent="0.25">
      <c r="B48" t="s">
        <v>134</v>
      </c>
      <c r="G48" s="20">
        <v>7.0000000000000007E-2</v>
      </c>
      <c r="H48" s="3">
        <f>((SUM(H20,H25,H30,H35,H40,H42:H44, H47)*0.5))*$G$48</f>
        <v>16.771093500000003</v>
      </c>
      <c r="I48" s="3">
        <v>0</v>
      </c>
      <c r="J48" s="3">
        <f t="shared" si="0"/>
        <v>16.771093500000003</v>
      </c>
    </row>
    <row r="50" spans="1:10" x14ac:dyDescent="0.25">
      <c r="B50" t="s">
        <v>35</v>
      </c>
      <c r="H50" s="3">
        <f>SUM(H20, H25, H30, H35, H40, H42:H48)</f>
        <v>530.94519349999996</v>
      </c>
      <c r="I50" s="3">
        <f>SUM(I20, I25, I30, I35, I40, I42:I48)</f>
        <v>0</v>
      </c>
      <c r="J50" s="3">
        <f>SUM(H50, I50)</f>
        <v>530.94519349999996</v>
      </c>
    </row>
    <row r="52" spans="1:10" x14ac:dyDescent="0.25">
      <c r="A52" s="7" t="s">
        <v>135</v>
      </c>
    </row>
    <row r="53" spans="1:10" x14ac:dyDescent="0.25">
      <c r="H53" s="4" t="s">
        <v>11</v>
      </c>
      <c r="I53" s="4" t="s">
        <v>12</v>
      </c>
      <c r="J53" s="4" t="s">
        <v>6</v>
      </c>
    </row>
    <row r="54" spans="1:10" x14ac:dyDescent="0.25">
      <c r="H54" s="4"/>
      <c r="I54" s="4"/>
    </row>
    <row r="55" spans="1:10" x14ac:dyDescent="0.25">
      <c r="B55" t="s">
        <v>29</v>
      </c>
      <c r="H55" s="18">
        <v>2.71</v>
      </c>
      <c r="I55" s="18">
        <v>11.32</v>
      </c>
      <c r="J55" s="3">
        <f>SUM(H55, I55)</f>
        <v>14.030000000000001</v>
      </c>
    </row>
    <row r="56" spans="1:10" x14ac:dyDescent="0.25">
      <c r="B56" t="s">
        <v>30</v>
      </c>
      <c r="H56" s="18">
        <v>2.08</v>
      </c>
      <c r="I56" s="18">
        <v>4.75</v>
      </c>
      <c r="J56" s="3">
        <f t="shared" ref="J56:J69" si="1">SUM(H56, I56)</f>
        <v>6.83</v>
      </c>
    </row>
    <row r="57" spans="1:10" x14ac:dyDescent="0.25">
      <c r="B57" t="s">
        <v>32</v>
      </c>
      <c r="H57" s="18">
        <v>4.1500000000000004</v>
      </c>
      <c r="I57" s="18">
        <v>13.12</v>
      </c>
      <c r="J57" s="3">
        <f t="shared" si="1"/>
        <v>17.27</v>
      </c>
    </row>
    <row r="58" spans="1:10" x14ac:dyDescent="0.25">
      <c r="B58" t="s">
        <v>98</v>
      </c>
      <c r="H58" s="18">
        <v>9.81</v>
      </c>
      <c r="I58" s="18">
        <v>16.2</v>
      </c>
      <c r="J58" s="3">
        <f t="shared" si="1"/>
        <v>26.009999999999998</v>
      </c>
    </row>
    <row r="59" spans="1:10" x14ac:dyDescent="0.25">
      <c r="B59" t="s">
        <v>130</v>
      </c>
      <c r="H59" s="18">
        <v>1.59</v>
      </c>
      <c r="I59" s="18">
        <v>6.01</v>
      </c>
      <c r="J59" s="3">
        <f t="shared" si="1"/>
        <v>7.6</v>
      </c>
    </row>
    <row r="60" spans="1:10" x14ac:dyDescent="0.25">
      <c r="B60" t="s">
        <v>130</v>
      </c>
      <c r="H60" s="18">
        <v>1.59</v>
      </c>
      <c r="I60" s="18">
        <v>6.01</v>
      </c>
      <c r="J60" s="3">
        <f t="shared" si="1"/>
        <v>7.6</v>
      </c>
    </row>
    <row r="61" spans="1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1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1:10" x14ac:dyDescent="0.25">
      <c r="B63" t="s">
        <v>33</v>
      </c>
      <c r="H63" s="18">
        <v>0</v>
      </c>
      <c r="I63" s="18">
        <v>0</v>
      </c>
      <c r="J63" s="3">
        <f t="shared" si="1"/>
        <v>0</v>
      </c>
    </row>
    <row r="64" spans="1:10" x14ac:dyDescent="0.25">
      <c r="B64" t="s">
        <v>33</v>
      </c>
      <c r="H64" s="18">
        <v>0</v>
      </c>
      <c r="I64" s="18">
        <v>0</v>
      </c>
      <c r="J64" s="3">
        <f t="shared" si="1"/>
        <v>0</v>
      </c>
    </row>
    <row r="65" spans="1:10" x14ac:dyDescent="0.25">
      <c r="B65" t="s">
        <v>33</v>
      </c>
      <c r="H65" s="18">
        <v>0</v>
      </c>
      <c r="I65" s="18">
        <v>0</v>
      </c>
      <c r="J65" s="3">
        <f t="shared" si="1"/>
        <v>0</v>
      </c>
    </row>
    <row r="66" spans="1:10" x14ac:dyDescent="0.25">
      <c r="B66" t="s">
        <v>33</v>
      </c>
      <c r="H66" s="18">
        <v>0</v>
      </c>
      <c r="I66" s="18">
        <v>0</v>
      </c>
      <c r="J66" s="3">
        <f t="shared" si="1"/>
        <v>0</v>
      </c>
    </row>
    <row r="67" spans="1:10" x14ac:dyDescent="0.25">
      <c r="B67" t="s">
        <v>33</v>
      </c>
      <c r="H67" s="18">
        <v>0</v>
      </c>
      <c r="I67" s="18">
        <v>0</v>
      </c>
      <c r="J67" s="3">
        <f t="shared" si="1"/>
        <v>0</v>
      </c>
    </row>
    <row r="68" spans="1:10" x14ac:dyDescent="0.25">
      <c r="H68" s="3"/>
      <c r="I68" s="3"/>
      <c r="J68" s="3"/>
    </row>
    <row r="69" spans="1:10" x14ac:dyDescent="0.25">
      <c r="B69" t="s">
        <v>35</v>
      </c>
      <c r="H69" s="3">
        <f>SUM(H55:H67)</f>
        <v>21.93</v>
      </c>
      <c r="I69" s="3">
        <f>SUM(I55:I67)</f>
        <v>57.41</v>
      </c>
      <c r="J69" s="3">
        <f t="shared" si="1"/>
        <v>79.34</v>
      </c>
    </row>
    <row r="71" spans="1:10" x14ac:dyDescent="0.25">
      <c r="A71" s="7" t="s">
        <v>36</v>
      </c>
    </row>
    <row r="72" spans="1:10" x14ac:dyDescent="0.25">
      <c r="H72" s="4" t="s">
        <v>11</v>
      </c>
      <c r="I72" s="4" t="s">
        <v>12</v>
      </c>
      <c r="J72" s="4" t="s">
        <v>6</v>
      </c>
    </row>
    <row r="74" spans="1:10" x14ac:dyDescent="0.25">
      <c r="B74" t="s">
        <v>37</v>
      </c>
      <c r="H74" s="18">
        <v>9.31</v>
      </c>
      <c r="I74" s="18">
        <v>33.08</v>
      </c>
      <c r="J74" s="3">
        <f>H74+I74</f>
        <v>42.39</v>
      </c>
    </row>
    <row r="75" spans="1:10" x14ac:dyDescent="0.25">
      <c r="B75" t="s">
        <v>38</v>
      </c>
    </row>
    <row r="76" spans="1:10" x14ac:dyDescent="0.25">
      <c r="C76" t="s">
        <v>131</v>
      </c>
      <c r="G76" s="18">
        <v>0.15</v>
      </c>
      <c r="H76" s="3">
        <f>$G$76*$I$5</f>
        <v>29.7</v>
      </c>
      <c r="I76" s="3">
        <v>0</v>
      </c>
      <c r="J76" s="3">
        <f>H76+I76</f>
        <v>29.7</v>
      </c>
    </row>
    <row r="78" spans="1:10" x14ac:dyDescent="0.25">
      <c r="B78" t="s">
        <v>39</v>
      </c>
    </row>
    <row r="79" spans="1:10" x14ac:dyDescent="0.25">
      <c r="C79" t="s">
        <v>132</v>
      </c>
      <c r="G79" s="21">
        <v>0.05</v>
      </c>
    </row>
    <row r="80" spans="1:10" x14ac:dyDescent="0.25">
      <c r="C80" t="s">
        <v>133</v>
      </c>
      <c r="G80" s="17">
        <v>3</v>
      </c>
    </row>
    <row r="81" spans="1:10" x14ac:dyDescent="0.25">
      <c r="C81" t="s">
        <v>40</v>
      </c>
      <c r="H81" s="3">
        <f>$G$79*$G$80*$I$5</f>
        <v>29.700000000000003</v>
      </c>
      <c r="I81" s="3">
        <v>0</v>
      </c>
      <c r="J81" s="3">
        <f>SUM(H81, I81)</f>
        <v>29.700000000000003</v>
      </c>
    </row>
    <row r="83" spans="1:10" x14ac:dyDescent="0.25">
      <c r="B83" t="s">
        <v>35</v>
      </c>
      <c r="H83" s="3">
        <f>SUM(H74, H76, H81)</f>
        <v>68.710000000000008</v>
      </c>
      <c r="I83" s="3">
        <f t="shared" ref="I83:J83" si="2">SUM(I74, I76, I81)</f>
        <v>33.08</v>
      </c>
      <c r="J83" s="3">
        <f t="shared" si="2"/>
        <v>101.79</v>
      </c>
    </row>
    <row r="85" spans="1:10" x14ac:dyDescent="0.25">
      <c r="A85" s="7" t="s">
        <v>43</v>
      </c>
    </row>
    <row r="87" spans="1:10" x14ac:dyDescent="0.25">
      <c r="B87" t="s">
        <v>41</v>
      </c>
    </row>
    <row r="88" spans="1:10" x14ac:dyDescent="0.25">
      <c r="C88" t="s">
        <v>44</v>
      </c>
      <c r="G88" s="18">
        <v>1.65</v>
      </c>
    </row>
    <row r="89" spans="1:10" x14ac:dyDescent="0.25">
      <c r="C89" t="s">
        <v>45</v>
      </c>
      <c r="G89" s="18">
        <v>20</v>
      </c>
    </row>
    <row r="90" spans="1:10" x14ac:dyDescent="0.25">
      <c r="C90" t="s">
        <v>46</v>
      </c>
      <c r="H90" s="3">
        <v>0</v>
      </c>
      <c r="I90" s="3">
        <f>G88*G89</f>
        <v>33</v>
      </c>
      <c r="J90" s="3">
        <f>SUM(H90, I90)</f>
        <v>33</v>
      </c>
    </row>
    <row r="92" spans="1:10" x14ac:dyDescent="0.25">
      <c r="B92" t="s">
        <v>42</v>
      </c>
    </row>
    <row r="93" spans="1:10" x14ac:dyDescent="0.25">
      <c r="C93" t="s">
        <v>44</v>
      </c>
      <c r="G93" s="18">
        <v>1</v>
      </c>
    </row>
    <row r="94" spans="1:10" x14ac:dyDescent="0.25">
      <c r="C94" t="s">
        <v>45</v>
      </c>
      <c r="G94" s="18">
        <v>25</v>
      </c>
    </row>
    <row r="95" spans="1:10" x14ac:dyDescent="0.25">
      <c r="C95" t="s">
        <v>42</v>
      </c>
      <c r="H95" s="3">
        <v>0</v>
      </c>
      <c r="I95" s="3">
        <f>G93*G94</f>
        <v>25</v>
      </c>
      <c r="J95" s="3">
        <f>SUM(H95, I95)</f>
        <v>25</v>
      </c>
    </row>
    <row r="97" spans="1:10" x14ac:dyDescent="0.25">
      <c r="B97" t="s">
        <v>35</v>
      </c>
      <c r="H97" s="3">
        <f>SUM(H90, H95)</f>
        <v>0</v>
      </c>
      <c r="I97" s="3">
        <f>SUM(I90, I95)</f>
        <v>58</v>
      </c>
      <c r="J97" s="3">
        <f>SUM(H97, I97)</f>
        <v>58</v>
      </c>
    </row>
    <row r="99" spans="1:10" x14ac:dyDescent="0.25">
      <c r="A99" s="7" t="s">
        <v>47</v>
      </c>
    </row>
    <row r="101" spans="1:10" x14ac:dyDescent="0.25">
      <c r="B101" t="s">
        <v>48</v>
      </c>
      <c r="H101" s="3">
        <v>0</v>
      </c>
      <c r="I101" s="18">
        <v>255</v>
      </c>
      <c r="J101" s="3">
        <f>SUM(H101, I101)</f>
        <v>255</v>
      </c>
    </row>
    <row r="102" spans="1:10" x14ac:dyDescent="0.25">
      <c r="H102" s="3"/>
      <c r="I102" s="3"/>
    </row>
    <row r="103" spans="1:10" x14ac:dyDescent="0.25">
      <c r="A103" s="7" t="s">
        <v>136</v>
      </c>
    </row>
    <row r="105" spans="1:10" x14ac:dyDescent="0.25">
      <c r="B105" t="s">
        <v>51</v>
      </c>
      <c r="H105" s="3">
        <f>SUM(H50, H69, H83, H97, H101)</f>
        <v>621.58519349999995</v>
      </c>
      <c r="I105" s="3">
        <f>SUM(I50, I69, I83, I97, I101)</f>
        <v>403.49</v>
      </c>
      <c r="J105" s="3">
        <f>SUM(H105, I105)</f>
        <v>1025.0751934999998</v>
      </c>
    </row>
    <row r="106" spans="1:10" x14ac:dyDescent="0.25">
      <c r="B106" t="s">
        <v>52</v>
      </c>
      <c r="H106" s="3">
        <f>H105/$I$5</f>
        <v>3.1393191590909089</v>
      </c>
      <c r="I106" s="3">
        <f>I105/$I$5</f>
        <v>2.0378282828282828</v>
      </c>
      <c r="J106" s="3">
        <f>SUM(H106, I106)</f>
        <v>5.1771474419191916</v>
      </c>
    </row>
    <row r="108" spans="1:10" x14ac:dyDescent="0.25">
      <c r="A108" s="7" t="s">
        <v>137</v>
      </c>
    </row>
    <row r="110" spans="1:10" x14ac:dyDescent="0.25">
      <c r="B110" t="s">
        <v>51</v>
      </c>
      <c r="J110" s="3">
        <f>J12-H105</f>
        <v>314.21480650000001</v>
      </c>
    </row>
    <row r="111" spans="1:10" x14ac:dyDescent="0.25">
      <c r="B111" t="s">
        <v>52</v>
      </c>
      <c r="J111" s="3">
        <f>J110/$I$5</f>
        <v>1.5869434671717173</v>
      </c>
    </row>
    <row r="113" spans="1:10" x14ac:dyDescent="0.25">
      <c r="A113" s="7" t="s">
        <v>138</v>
      </c>
    </row>
    <row r="115" spans="1:10" x14ac:dyDescent="0.25">
      <c r="B115" t="s">
        <v>51</v>
      </c>
      <c r="J115" s="3">
        <f>J12-J105</f>
        <v>-89.275193499999887</v>
      </c>
    </row>
    <row r="116" spans="1:10" x14ac:dyDescent="0.25">
      <c r="B116" t="s">
        <v>52</v>
      </c>
      <c r="J116" s="3">
        <f>J115/$I$5</f>
        <v>-0.45088481565656507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16"/>
  <sheetViews>
    <sheetView zoomScale="150" zoomScaleNormal="150" workbookViewId="0"/>
  </sheetViews>
  <sheetFormatPr defaultRowHeight="15" x14ac:dyDescent="0.25"/>
  <sheetData>
    <row r="1" spans="1:10" x14ac:dyDescent="0.25">
      <c r="A1" s="1" t="s">
        <v>93</v>
      </c>
    </row>
    <row r="3" spans="1:10" x14ac:dyDescent="0.25">
      <c r="A3" s="7" t="s">
        <v>1</v>
      </c>
    </row>
    <row r="5" spans="1:10" x14ac:dyDescent="0.25">
      <c r="B5" t="s">
        <v>3</v>
      </c>
      <c r="I5" s="17">
        <v>60</v>
      </c>
      <c r="J5" s="3"/>
    </row>
    <row r="6" spans="1:10" x14ac:dyDescent="0.25">
      <c r="B6" t="s">
        <v>2</v>
      </c>
      <c r="I6" s="18">
        <v>11.55</v>
      </c>
      <c r="J6" s="2"/>
    </row>
    <row r="7" spans="1:10" x14ac:dyDescent="0.25">
      <c r="B7" t="s">
        <v>9</v>
      </c>
      <c r="J7" s="3">
        <f>I5*I6</f>
        <v>693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20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3">
        <f>SUM(J7:J10)</f>
        <v>713</v>
      </c>
    </row>
    <row r="14" spans="1:10" x14ac:dyDescent="0.25">
      <c r="A14" s="7" t="s">
        <v>34</v>
      </c>
    </row>
    <row r="15" spans="1:10" x14ac:dyDescent="0.25">
      <c r="H15" s="12" t="s">
        <v>11</v>
      </c>
      <c r="I15" s="12" t="s">
        <v>12</v>
      </c>
      <c r="J15" s="12" t="s">
        <v>6</v>
      </c>
    </row>
    <row r="16" spans="1:10" x14ac:dyDescent="0.25">
      <c r="H16" s="4"/>
      <c r="I16" s="4"/>
      <c r="J16" s="4"/>
    </row>
    <row r="17" spans="2:10" x14ac:dyDescent="0.25">
      <c r="B17" t="s">
        <v>7</v>
      </c>
    </row>
    <row r="18" spans="2:10" x14ac:dyDescent="0.25">
      <c r="C18" t="s">
        <v>13</v>
      </c>
      <c r="G18" s="18">
        <v>0.44</v>
      </c>
    </row>
    <row r="19" spans="2:10" x14ac:dyDescent="0.25">
      <c r="C19" t="s">
        <v>14</v>
      </c>
      <c r="G19" s="19">
        <v>169000</v>
      </c>
    </row>
    <row r="20" spans="2:10" x14ac:dyDescent="0.25">
      <c r="C20" t="s">
        <v>8</v>
      </c>
      <c r="H20" s="3">
        <f>G18*(G19/1000)</f>
        <v>74.36</v>
      </c>
      <c r="I20" s="3">
        <v>0</v>
      </c>
      <c r="J20" s="3">
        <f>SUM(H20, I20)</f>
        <v>74.36</v>
      </c>
    </row>
    <row r="22" spans="2:10" x14ac:dyDescent="0.25">
      <c r="B22" t="s">
        <v>15</v>
      </c>
    </row>
    <row r="23" spans="2:10" x14ac:dyDescent="0.25">
      <c r="C23" t="s">
        <v>16</v>
      </c>
      <c r="G23" s="17">
        <v>0</v>
      </c>
    </row>
    <row r="24" spans="2:10" x14ac:dyDescent="0.25">
      <c r="C24" t="s">
        <v>170</v>
      </c>
      <c r="G24" s="22">
        <v>0</v>
      </c>
    </row>
    <row r="25" spans="2:10" x14ac:dyDescent="0.25">
      <c r="C25" t="s">
        <v>18</v>
      </c>
      <c r="H25" s="3">
        <f>G23*G24</f>
        <v>0</v>
      </c>
      <c r="I25" s="3">
        <v>0</v>
      </c>
      <c r="J25" s="3">
        <f>SUM(H25, I25)</f>
        <v>0</v>
      </c>
    </row>
    <row r="27" spans="2:10" x14ac:dyDescent="0.25">
      <c r="B27" t="s">
        <v>19</v>
      </c>
    </row>
    <row r="28" spans="2:10" x14ac:dyDescent="0.25">
      <c r="C28" t="s">
        <v>16</v>
      </c>
      <c r="G28" s="17">
        <v>48</v>
      </c>
    </row>
    <row r="29" spans="2:10" x14ac:dyDescent="0.25">
      <c r="C29" t="s">
        <v>170</v>
      </c>
      <c r="G29" s="22">
        <v>0.8</v>
      </c>
    </row>
    <row r="30" spans="2:10" x14ac:dyDescent="0.25">
      <c r="C30" t="s">
        <v>20</v>
      </c>
      <c r="H30" s="3">
        <f>G28*G29</f>
        <v>38.400000000000006</v>
      </c>
      <c r="I30" s="3">
        <v>0</v>
      </c>
      <c r="J30" s="3">
        <f>SUM(H30, I30)</f>
        <v>38.400000000000006</v>
      </c>
    </row>
    <row r="32" spans="2:10" x14ac:dyDescent="0.25">
      <c r="B32" t="s">
        <v>21</v>
      </c>
    </row>
    <row r="33" spans="1:10" x14ac:dyDescent="0.25">
      <c r="C33" t="s">
        <v>16</v>
      </c>
      <c r="G33" s="17">
        <v>104</v>
      </c>
    </row>
    <row r="34" spans="1:10" x14ac:dyDescent="0.25">
      <c r="C34" t="s">
        <v>170</v>
      </c>
      <c r="G34" s="22">
        <v>0.41</v>
      </c>
    </row>
    <row r="35" spans="1:10" x14ac:dyDescent="0.25">
      <c r="C35" t="s">
        <v>22</v>
      </c>
      <c r="H35" s="3">
        <f>G33*G34</f>
        <v>42.64</v>
      </c>
      <c r="I35" s="3">
        <v>0</v>
      </c>
      <c r="J35" s="3">
        <f>SUM(H35, I35)</f>
        <v>42.64</v>
      </c>
    </row>
    <row r="36" spans="1:10" x14ac:dyDescent="0.25">
      <c r="H36" s="3"/>
      <c r="I36" s="3"/>
      <c r="J36" s="3"/>
    </row>
    <row r="37" spans="1:10" x14ac:dyDescent="0.25">
      <c r="B37" t="s">
        <v>128</v>
      </c>
      <c r="H37" s="3"/>
      <c r="I37" s="3"/>
      <c r="J37" s="3"/>
    </row>
    <row r="38" spans="1:10" x14ac:dyDescent="0.25">
      <c r="C38" t="s">
        <v>16</v>
      </c>
      <c r="G38" s="17">
        <v>33.299999999999997</v>
      </c>
      <c r="H38" s="3"/>
      <c r="I38" s="3"/>
      <c r="J38" s="3"/>
    </row>
    <row r="39" spans="1:10" x14ac:dyDescent="0.25">
      <c r="C39" t="s">
        <v>170</v>
      </c>
      <c r="G39" s="22">
        <v>0.27300000000000002</v>
      </c>
      <c r="H39" s="3"/>
      <c r="I39" s="3"/>
      <c r="J39" s="3"/>
    </row>
    <row r="40" spans="1:10" x14ac:dyDescent="0.25">
      <c r="A40" s="16"/>
      <c r="C40" t="s">
        <v>129</v>
      </c>
      <c r="H40" s="3">
        <f>G38*G39</f>
        <v>9.0908999999999995</v>
      </c>
      <c r="I40" s="3">
        <v>0</v>
      </c>
      <c r="J40" s="3">
        <f>SUM(H40, I40)</f>
        <v>9.0908999999999995</v>
      </c>
    </row>
    <row r="41" spans="1:10" x14ac:dyDescent="0.25">
      <c r="A41" s="16"/>
      <c r="H41" s="3"/>
      <c r="I41" s="3"/>
      <c r="J41" s="3"/>
    </row>
    <row r="42" spans="1:10" x14ac:dyDescent="0.25">
      <c r="B42" t="s">
        <v>23</v>
      </c>
      <c r="H42" s="18">
        <v>0</v>
      </c>
      <c r="I42" s="3">
        <v>0</v>
      </c>
      <c r="J42" s="3">
        <f t="shared" ref="J42:J48" si="0">SUM(H42, I42)</f>
        <v>0</v>
      </c>
    </row>
    <row r="43" spans="1:10" x14ac:dyDescent="0.25">
      <c r="B43" t="s">
        <v>24</v>
      </c>
      <c r="H43" s="18">
        <v>70</v>
      </c>
      <c r="I43" s="3">
        <v>0</v>
      </c>
      <c r="J43" s="3">
        <f t="shared" si="0"/>
        <v>70</v>
      </c>
    </row>
    <row r="44" spans="1:10" x14ac:dyDescent="0.25">
      <c r="B44" t="s">
        <v>25</v>
      </c>
      <c r="H44" s="18">
        <v>0</v>
      </c>
      <c r="I44" s="3">
        <v>0</v>
      </c>
      <c r="J44" s="3">
        <f t="shared" si="0"/>
        <v>0</v>
      </c>
    </row>
    <row r="45" spans="1:10" x14ac:dyDescent="0.25">
      <c r="B45" t="s">
        <v>26</v>
      </c>
      <c r="H45" s="18">
        <v>20</v>
      </c>
      <c r="I45" s="3">
        <v>0</v>
      </c>
      <c r="J45" s="3">
        <f t="shared" si="0"/>
        <v>20</v>
      </c>
    </row>
    <row r="46" spans="1:10" x14ac:dyDescent="0.25">
      <c r="B46" t="s">
        <v>27</v>
      </c>
      <c r="H46" s="18">
        <v>10</v>
      </c>
      <c r="I46" s="3">
        <v>0</v>
      </c>
      <c r="J46" s="3">
        <f t="shared" si="0"/>
        <v>10</v>
      </c>
    </row>
    <row r="47" spans="1:10" x14ac:dyDescent="0.25">
      <c r="B47" t="s">
        <v>28</v>
      </c>
      <c r="H47" s="18">
        <v>10</v>
      </c>
      <c r="I47" s="3">
        <v>0</v>
      </c>
      <c r="J47" s="3">
        <f t="shared" si="0"/>
        <v>10</v>
      </c>
    </row>
    <row r="48" spans="1:10" x14ac:dyDescent="0.25">
      <c r="B48" t="s">
        <v>134</v>
      </c>
      <c r="G48" s="20">
        <v>7.0000000000000007E-2</v>
      </c>
      <c r="H48" s="3">
        <f>((SUM(H20,H25,H30,H35,H40,H42:H44, H47)*0.5))*$G$48</f>
        <v>8.5571815000000004</v>
      </c>
      <c r="I48" s="3">
        <v>0</v>
      </c>
      <c r="J48" s="3">
        <f t="shared" si="0"/>
        <v>8.5571815000000004</v>
      </c>
    </row>
    <row r="50" spans="1:10" x14ac:dyDescent="0.25">
      <c r="B50" t="s">
        <v>35</v>
      </c>
      <c r="H50" s="3">
        <f>SUM(H20, H25, H30, H35, H40, H42:H48)</f>
        <v>283.04808150000002</v>
      </c>
      <c r="I50" s="3">
        <f>SUM(I20, I25, I30, I35, I40, I42:I48)</f>
        <v>0</v>
      </c>
      <c r="J50" s="3">
        <f>SUM(H50, I50)</f>
        <v>283.04808150000002</v>
      </c>
    </row>
    <row r="52" spans="1:10" x14ac:dyDescent="0.25">
      <c r="A52" s="7" t="s">
        <v>135</v>
      </c>
    </row>
    <row r="53" spans="1:10" x14ac:dyDescent="0.25">
      <c r="H53" s="12" t="s">
        <v>11</v>
      </c>
      <c r="I53" s="12" t="s">
        <v>12</v>
      </c>
      <c r="J53" s="12" t="s">
        <v>6</v>
      </c>
    </row>
    <row r="54" spans="1:10" x14ac:dyDescent="0.25">
      <c r="H54" s="4"/>
      <c r="I54" s="4"/>
    </row>
    <row r="55" spans="1:10" x14ac:dyDescent="0.25">
      <c r="B55" t="s">
        <v>30</v>
      </c>
      <c r="H55" s="18">
        <v>2.08</v>
      </c>
      <c r="I55" s="18">
        <v>4.75</v>
      </c>
      <c r="J55" s="3">
        <f>SUM(H55, I55)</f>
        <v>6.83</v>
      </c>
    </row>
    <row r="56" spans="1:10" x14ac:dyDescent="0.25">
      <c r="B56" t="s">
        <v>139</v>
      </c>
      <c r="H56" s="18">
        <v>3.86</v>
      </c>
      <c r="I56" s="18">
        <v>14.16</v>
      </c>
      <c r="J56" s="3">
        <f t="shared" ref="J56:J69" si="1">SUM(H56, I56)</f>
        <v>18.02</v>
      </c>
    </row>
    <row r="57" spans="1:10" x14ac:dyDescent="0.25">
      <c r="B57" t="s">
        <v>32</v>
      </c>
      <c r="H57" s="18">
        <v>4.1500000000000004</v>
      </c>
      <c r="I57" s="18">
        <v>13.12</v>
      </c>
      <c r="J57" s="3">
        <f t="shared" si="1"/>
        <v>17.27</v>
      </c>
    </row>
    <row r="58" spans="1:10" x14ac:dyDescent="0.25">
      <c r="B58" t="s">
        <v>98</v>
      </c>
      <c r="H58" s="18">
        <v>9.81</v>
      </c>
      <c r="I58" s="18">
        <v>16.2</v>
      </c>
      <c r="J58" s="3">
        <f t="shared" si="1"/>
        <v>26.009999999999998</v>
      </c>
    </row>
    <row r="59" spans="1:10" x14ac:dyDescent="0.25">
      <c r="B59" t="s">
        <v>130</v>
      </c>
      <c r="H59" s="18">
        <v>1.59</v>
      </c>
      <c r="I59" s="18">
        <v>6.01</v>
      </c>
      <c r="J59" s="3">
        <f t="shared" si="1"/>
        <v>7.6</v>
      </c>
    </row>
    <row r="60" spans="1:10" x14ac:dyDescent="0.25">
      <c r="B60" t="s">
        <v>130</v>
      </c>
      <c r="H60" s="18">
        <v>1.59</v>
      </c>
      <c r="I60" s="18">
        <v>6.01</v>
      </c>
      <c r="J60" s="3">
        <f t="shared" si="1"/>
        <v>7.6</v>
      </c>
    </row>
    <row r="61" spans="1:10" x14ac:dyDescent="0.25">
      <c r="B61" t="s">
        <v>33</v>
      </c>
      <c r="H61" s="18">
        <v>0</v>
      </c>
      <c r="I61" s="18">
        <v>0</v>
      </c>
      <c r="J61" s="3">
        <f t="shared" si="1"/>
        <v>0</v>
      </c>
    </row>
    <row r="62" spans="1:10" x14ac:dyDescent="0.25">
      <c r="B62" t="s">
        <v>33</v>
      </c>
      <c r="H62" s="18">
        <v>0</v>
      </c>
      <c r="I62" s="18">
        <v>0</v>
      </c>
      <c r="J62" s="3">
        <f t="shared" si="1"/>
        <v>0</v>
      </c>
    </row>
    <row r="63" spans="1:10" x14ac:dyDescent="0.25">
      <c r="B63" t="s">
        <v>33</v>
      </c>
      <c r="H63" s="18">
        <v>0</v>
      </c>
      <c r="I63" s="18">
        <v>0</v>
      </c>
      <c r="J63" s="3">
        <f t="shared" si="1"/>
        <v>0</v>
      </c>
    </row>
    <row r="64" spans="1:10" x14ac:dyDescent="0.25">
      <c r="B64" t="s">
        <v>33</v>
      </c>
      <c r="H64" s="18">
        <v>0</v>
      </c>
      <c r="I64" s="18">
        <v>0</v>
      </c>
      <c r="J64" s="3">
        <f t="shared" si="1"/>
        <v>0</v>
      </c>
    </row>
    <row r="65" spans="1:10" x14ac:dyDescent="0.25">
      <c r="B65" t="s">
        <v>33</v>
      </c>
      <c r="H65" s="18">
        <v>0</v>
      </c>
      <c r="I65" s="18">
        <v>0</v>
      </c>
      <c r="J65" s="3">
        <f t="shared" si="1"/>
        <v>0</v>
      </c>
    </row>
    <row r="66" spans="1:10" x14ac:dyDescent="0.25">
      <c r="B66" t="s">
        <v>33</v>
      </c>
      <c r="H66" s="18">
        <v>0</v>
      </c>
      <c r="I66" s="18">
        <v>0</v>
      </c>
      <c r="J66" s="3">
        <f t="shared" si="1"/>
        <v>0</v>
      </c>
    </row>
    <row r="67" spans="1:10" x14ac:dyDescent="0.25">
      <c r="B67" t="s">
        <v>33</v>
      </c>
      <c r="H67" s="18">
        <v>0</v>
      </c>
      <c r="I67" s="18">
        <v>0</v>
      </c>
      <c r="J67" s="3">
        <f t="shared" si="1"/>
        <v>0</v>
      </c>
    </row>
    <row r="68" spans="1:10" x14ac:dyDescent="0.25">
      <c r="H68" s="3"/>
      <c r="I68" s="3"/>
      <c r="J68" s="3"/>
    </row>
    <row r="69" spans="1:10" x14ac:dyDescent="0.25">
      <c r="B69" t="s">
        <v>35</v>
      </c>
      <c r="H69" s="3">
        <f>SUM(H55:H67)</f>
        <v>23.08</v>
      </c>
      <c r="I69" s="3">
        <f>SUM(I55:I67)</f>
        <v>60.25</v>
      </c>
      <c r="J69" s="3">
        <f t="shared" si="1"/>
        <v>83.33</v>
      </c>
    </row>
    <row r="71" spans="1:10" x14ac:dyDescent="0.25">
      <c r="A71" s="7" t="s">
        <v>36</v>
      </c>
    </row>
    <row r="72" spans="1:10" x14ac:dyDescent="0.25">
      <c r="H72" s="12" t="s">
        <v>11</v>
      </c>
      <c r="I72" s="12" t="s">
        <v>12</v>
      </c>
      <c r="J72" s="12" t="s">
        <v>6</v>
      </c>
    </row>
    <row r="74" spans="1:10" x14ac:dyDescent="0.25">
      <c r="B74" t="s">
        <v>37</v>
      </c>
      <c r="H74" s="18">
        <v>12.08</v>
      </c>
      <c r="I74" s="18">
        <v>27.65</v>
      </c>
      <c r="J74" s="3">
        <f>H74+I74</f>
        <v>39.729999999999997</v>
      </c>
    </row>
    <row r="75" spans="1:10" x14ac:dyDescent="0.25">
      <c r="B75" t="s">
        <v>38</v>
      </c>
    </row>
    <row r="76" spans="1:10" x14ac:dyDescent="0.25">
      <c r="C76" t="s">
        <v>131</v>
      </c>
      <c r="G76" s="18">
        <v>0.15</v>
      </c>
      <c r="H76" s="3">
        <f>$G$76*$I$5</f>
        <v>9</v>
      </c>
      <c r="I76" s="3">
        <v>0</v>
      </c>
      <c r="J76" s="3">
        <f>H76+I76</f>
        <v>9</v>
      </c>
    </row>
    <row r="78" spans="1:10" x14ac:dyDescent="0.25">
      <c r="B78" t="s">
        <v>39</v>
      </c>
    </row>
    <row r="79" spans="1:10" x14ac:dyDescent="0.25">
      <c r="C79" t="s">
        <v>132</v>
      </c>
      <c r="G79" s="18">
        <v>0</v>
      </c>
    </row>
    <row r="80" spans="1:10" x14ac:dyDescent="0.25">
      <c r="C80" t="s">
        <v>133</v>
      </c>
      <c r="G80" s="17">
        <v>0</v>
      </c>
    </row>
    <row r="81" spans="1:10" x14ac:dyDescent="0.25">
      <c r="C81" t="s">
        <v>40</v>
      </c>
      <c r="H81" s="3">
        <f>$G$79*$G$80*$I$5</f>
        <v>0</v>
      </c>
      <c r="I81" s="3">
        <v>0</v>
      </c>
      <c r="J81" s="3">
        <f>SUM(H81, I81)</f>
        <v>0</v>
      </c>
    </row>
    <row r="83" spans="1:10" x14ac:dyDescent="0.25">
      <c r="B83" t="s">
        <v>35</v>
      </c>
      <c r="H83" s="3">
        <f>SUM(H74, H76, H81)</f>
        <v>21.08</v>
      </c>
      <c r="I83" s="3">
        <f t="shared" ref="I83:J83" si="2">SUM(I74, I76, I81)</f>
        <v>27.65</v>
      </c>
      <c r="J83" s="3">
        <f t="shared" si="2"/>
        <v>48.73</v>
      </c>
    </row>
    <row r="85" spans="1:10" x14ac:dyDescent="0.25">
      <c r="A85" s="7" t="s">
        <v>43</v>
      </c>
    </row>
    <row r="87" spans="1:10" x14ac:dyDescent="0.25">
      <c r="B87" t="s">
        <v>41</v>
      </c>
    </row>
    <row r="88" spans="1:10" x14ac:dyDescent="0.25">
      <c r="C88" t="s">
        <v>44</v>
      </c>
      <c r="G88" s="18">
        <v>0.6</v>
      </c>
    </row>
    <row r="89" spans="1:10" x14ac:dyDescent="0.25">
      <c r="C89" t="s">
        <v>45</v>
      </c>
      <c r="G89" s="18">
        <v>20</v>
      </c>
    </row>
    <row r="90" spans="1:10" x14ac:dyDescent="0.25">
      <c r="C90" t="s">
        <v>46</v>
      </c>
      <c r="H90" s="3">
        <v>0</v>
      </c>
      <c r="I90" s="3">
        <f>G88*G89</f>
        <v>12</v>
      </c>
      <c r="J90" s="3">
        <f>SUM(H90, I90)</f>
        <v>12</v>
      </c>
    </row>
    <row r="92" spans="1:10" x14ac:dyDescent="0.25">
      <c r="B92" t="s">
        <v>42</v>
      </c>
    </row>
    <row r="93" spans="1:10" x14ac:dyDescent="0.25">
      <c r="C93" t="s">
        <v>44</v>
      </c>
      <c r="G93" s="18">
        <v>1</v>
      </c>
    </row>
    <row r="94" spans="1:10" x14ac:dyDescent="0.25">
      <c r="C94" t="s">
        <v>45</v>
      </c>
      <c r="G94" s="18">
        <v>25</v>
      </c>
    </row>
    <row r="95" spans="1:10" x14ac:dyDescent="0.25">
      <c r="C95" t="s">
        <v>42</v>
      </c>
      <c r="H95" s="3">
        <v>0</v>
      </c>
      <c r="I95" s="3">
        <f>G93*G94</f>
        <v>25</v>
      </c>
      <c r="J95" s="3">
        <f>SUM(H95, I95)</f>
        <v>25</v>
      </c>
    </row>
    <row r="97" spans="1:10" x14ac:dyDescent="0.25">
      <c r="B97" t="s">
        <v>35</v>
      </c>
      <c r="H97" s="3">
        <f>SUM(H90, H95)</f>
        <v>0</v>
      </c>
      <c r="I97" s="3">
        <f>SUM(I90, I95)</f>
        <v>37</v>
      </c>
      <c r="J97" s="3">
        <f>SUM(H97, I97)</f>
        <v>37</v>
      </c>
    </row>
    <row r="99" spans="1:10" x14ac:dyDescent="0.25">
      <c r="A99" s="7" t="s">
        <v>47</v>
      </c>
    </row>
    <row r="101" spans="1:10" x14ac:dyDescent="0.25">
      <c r="B101" t="s">
        <v>48</v>
      </c>
      <c r="H101" s="3">
        <v>0</v>
      </c>
      <c r="I101" s="18">
        <v>255</v>
      </c>
      <c r="J101" s="3">
        <f>SUM(H101, I101)</f>
        <v>255</v>
      </c>
    </row>
    <row r="102" spans="1:10" x14ac:dyDescent="0.25">
      <c r="H102" s="3"/>
      <c r="I102" s="3"/>
    </row>
    <row r="103" spans="1:10" x14ac:dyDescent="0.25">
      <c r="A103" s="7" t="s">
        <v>136</v>
      </c>
    </row>
    <row r="105" spans="1:10" x14ac:dyDescent="0.25">
      <c r="B105" t="s">
        <v>51</v>
      </c>
      <c r="H105" s="3">
        <f>SUM(H50, H69, H83, H97, H101)</f>
        <v>327.20808149999999</v>
      </c>
      <c r="I105" s="3">
        <f>SUM(I50, I69, I83, I97, I101)</f>
        <v>379.9</v>
      </c>
      <c r="J105" s="3">
        <f>SUM(H105, I105)</f>
        <v>707.10808150000003</v>
      </c>
    </row>
    <row r="106" spans="1:10" x14ac:dyDescent="0.25">
      <c r="B106" t="s">
        <v>52</v>
      </c>
      <c r="H106" s="3">
        <f>H105/$I$5</f>
        <v>5.4534680250000003</v>
      </c>
      <c r="I106" s="3">
        <f>I105/$I$5</f>
        <v>6.3316666666666661</v>
      </c>
      <c r="J106" s="3">
        <f>SUM(H106, I106)</f>
        <v>11.785134691666666</v>
      </c>
    </row>
    <row r="108" spans="1:10" x14ac:dyDescent="0.25">
      <c r="A108" s="7" t="s">
        <v>137</v>
      </c>
    </row>
    <row r="110" spans="1:10" x14ac:dyDescent="0.25">
      <c r="B110" t="s">
        <v>51</v>
      </c>
      <c r="J110" s="3">
        <f>J12-H105</f>
        <v>385.79191850000001</v>
      </c>
    </row>
    <row r="111" spans="1:10" x14ac:dyDescent="0.25">
      <c r="B111" t="s">
        <v>52</v>
      </c>
      <c r="J111" s="3">
        <f>J110/$I$5</f>
        <v>6.4298653083333335</v>
      </c>
    </row>
    <row r="113" spans="1:10" x14ac:dyDescent="0.25">
      <c r="A113" s="7" t="s">
        <v>138</v>
      </c>
    </row>
    <row r="115" spans="1:10" x14ac:dyDescent="0.25">
      <c r="B115" t="s">
        <v>51</v>
      </c>
      <c r="J115" s="3">
        <f>J12-J105</f>
        <v>5.8919184999999743</v>
      </c>
    </row>
    <row r="116" spans="1:10" x14ac:dyDescent="0.25">
      <c r="B116" t="s">
        <v>52</v>
      </c>
      <c r="J116" s="3">
        <f>J115/$I$5</f>
        <v>9.8198641666666239E-2</v>
      </c>
    </row>
  </sheetData>
  <sheetProtection sheet="1" objects="1" scenarios="1"/>
  <printOptions headings="1" gridLines="1"/>
  <pageMargins left="0.7" right="0.7" top="0.75" bottom="0.75" header="0.3" footer="0.3"/>
  <pageSetup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18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169</v>
      </c>
      <c r="G1" s="16"/>
    </row>
    <row r="3" spans="1:10" x14ac:dyDescent="0.25">
      <c r="A3" s="7" t="s">
        <v>1</v>
      </c>
    </row>
    <row r="5" spans="1:10" x14ac:dyDescent="0.25">
      <c r="B5" t="s">
        <v>147</v>
      </c>
      <c r="I5" s="17">
        <v>60</v>
      </c>
      <c r="J5" s="3"/>
    </row>
    <row r="6" spans="1:10" x14ac:dyDescent="0.25">
      <c r="B6" t="s">
        <v>148</v>
      </c>
      <c r="I6" s="17">
        <v>1</v>
      </c>
      <c r="J6" s="3"/>
    </row>
    <row r="7" spans="1:10" x14ac:dyDescent="0.25">
      <c r="B7" t="s">
        <v>149</v>
      </c>
      <c r="I7" s="18">
        <v>3.75</v>
      </c>
      <c r="J7" s="2"/>
    </row>
    <row r="8" spans="1:10" x14ac:dyDescent="0.25">
      <c r="B8" t="s">
        <v>150</v>
      </c>
      <c r="I8" s="18">
        <v>160</v>
      </c>
      <c r="J8" s="2"/>
    </row>
    <row r="9" spans="1:10" x14ac:dyDescent="0.25">
      <c r="B9" t="s">
        <v>9</v>
      </c>
      <c r="J9" s="24">
        <f>(I5*I7)+(I6*I8)</f>
        <v>385</v>
      </c>
    </row>
    <row r="10" spans="1:10" x14ac:dyDescent="0.25">
      <c r="B10" t="s">
        <v>4</v>
      </c>
      <c r="J10" s="18">
        <v>0</v>
      </c>
    </row>
    <row r="11" spans="1:10" x14ac:dyDescent="0.25">
      <c r="B11" t="s">
        <v>5</v>
      </c>
      <c r="J11" s="18">
        <v>0</v>
      </c>
    </row>
    <row r="12" spans="1:10" x14ac:dyDescent="0.25">
      <c r="B12" t="s">
        <v>10</v>
      </c>
      <c r="J12" s="18">
        <v>0</v>
      </c>
    </row>
    <row r="14" spans="1:10" x14ac:dyDescent="0.25">
      <c r="B14" t="s">
        <v>6</v>
      </c>
      <c r="J14" s="24">
        <f>SUM(J9:J12)</f>
        <v>385</v>
      </c>
    </row>
    <row r="16" spans="1:10" x14ac:dyDescent="0.25">
      <c r="A16" s="7" t="s">
        <v>34</v>
      </c>
    </row>
    <row r="17" spans="2:10" x14ac:dyDescent="0.25">
      <c r="H17" s="4" t="s">
        <v>11</v>
      </c>
      <c r="I17" s="4" t="s">
        <v>12</v>
      </c>
      <c r="J17" s="4" t="s">
        <v>6</v>
      </c>
    </row>
    <row r="18" spans="2:10" x14ac:dyDescent="0.25">
      <c r="H18" s="4"/>
      <c r="I18" s="4"/>
      <c r="J18" s="4"/>
    </row>
    <row r="19" spans="2:10" x14ac:dyDescent="0.25">
      <c r="B19" t="s">
        <v>151</v>
      </c>
    </row>
    <row r="20" spans="2:10" x14ac:dyDescent="0.25">
      <c r="C20" t="s">
        <v>154</v>
      </c>
      <c r="G20" s="18">
        <v>13</v>
      </c>
    </row>
    <row r="21" spans="2:10" x14ac:dyDescent="0.25">
      <c r="C21" t="s">
        <v>153</v>
      </c>
      <c r="G21" s="23">
        <v>2.5</v>
      </c>
    </row>
    <row r="22" spans="2:10" x14ac:dyDescent="0.25">
      <c r="C22" t="s">
        <v>8</v>
      </c>
      <c r="H22" s="3">
        <f>G20*G21</f>
        <v>32.5</v>
      </c>
      <c r="I22" s="3">
        <v>0</v>
      </c>
      <c r="J22" s="3">
        <f>SUM(H22, I22)</f>
        <v>32.5</v>
      </c>
    </row>
    <row r="24" spans="2:10" x14ac:dyDescent="0.25">
      <c r="B24" t="s">
        <v>152</v>
      </c>
    </row>
    <row r="25" spans="2:10" x14ac:dyDescent="0.25">
      <c r="C25" t="s">
        <v>154</v>
      </c>
      <c r="G25" s="18">
        <v>4.75</v>
      </c>
    </row>
    <row r="26" spans="2:10" x14ac:dyDescent="0.25">
      <c r="C26" t="s">
        <v>153</v>
      </c>
      <c r="G26" s="23">
        <v>16</v>
      </c>
    </row>
    <row r="27" spans="2:10" x14ac:dyDescent="0.25">
      <c r="C27" t="s">
        <v>8</v>
      </c>
      <c r="H27" s="3">
        <f>G25*G26</f>
        <v>76</v>
      </c>
      <c r="I27" s="3">
        <v>0</v>
      </c>
      <c r="J27" s="3">
        <f>SUM(H27, I27)</f>
        <v>76</v>
      </c>
    </row>
    <row r="29" spans="2:10" x14ac:dyDescent="0.25">
      <c r="B29" t="s">
        <v>140</v>
      </c>
    </row>
    <row r="30" spans="2:10" x14ac:dyDescent="0.25">
      <c r="C30" t="s">
        <v>16</v>
      </c>
      <c r="G30" s="17">
        <v>1</v>
      </c>
    </row>
    <row r="31" spans="2:10" x14ac:dyDescent="0.25">
      <c r="C31" t="s">
        <v>170</v>
      </c>
      <c r="G31" s="18">
        <v>57</v>
      </c>
    </row>
    <row r="32" spans="2:10" x14ac:dyDescent="0.25">
      <c r="C32" t="s">
        <v>142</v>
      </c>
      <c r="H32" s="3">
        <f>G30*G31</f>
        <v>57</v>
      </c>
      <c r="I32" s="3">
        <v>0</v>
      </c>
      <c r="J32" s="3">
        <f>SUM(H32, I32)</f>
        <v>57</v>
      </c>
    </row>
    <row r="34" spans="2:10" x14ac:dyDescent="0.25">
      <c r="B34" t="s">
        <v>141</v>
      </c>
    </row>
    <row r="35" spans="2:10" x14ac:dyDescent="0.25">
      <c r="C35" t="s">
        <v>143</v>
      </c>
      <c r="G35" s="23">
        <v>0</v>
      </c>
    </row>
    <row r="36" spans="2:10" x14ac:dyDescent="0.25">
      <c r="C36" t="s">
        <v>145</v>
      </c>
      <c r="G36" s="22">
        <v>0</v>
      </c>
    </row>
    <row r="37" spans="2:10" x14ac:dyDescent="0.25">
      <c r="C37" t="s">
        <v>144</v>
      </c>
      <c r="H37" s="3">
        <f>G35*G36</f>
        <v>0</v>
      </c>
      <c r="I37" s="3">
        <v>0</v>
      </c>
      <c r="J37" s="3">
        <f>SUM(H37, I37)</f>
        <v>0</v>
      </c>
    </row>
    <row r="39" spans="2:10" x14ac:dyDescent="0.25">
      <c r="B39" t="s">
        <v>23</v>
      </c>
      <c r="H39" s="18">
        <v>0</v>
      </c>
      <c r="I39" s="3">
        <v>0</v>
      </c>
      <c r="J39" s="3">
        <f t="shared" ref="J39:J46" si="0">SUM(H39, I39)</f>
        <v>0</v>
      </c>
    </row>
    <row r="40" spans="2:10" x14ac:dyDescent="0.25">
      <c r="B40" t="s">
        <v>24</v>
      </c>
      <c r="H40" s="18">
        <v>0</v>
      </c>
      <c r="I40" s="3">
        <v>0</v>
      </c>
      <c r="J40" s="3">
        <f t="shared" si="0"/>
        <v>0</v>
      </c>
    </row>
    <row r="41" spans="2:10" x14ac:dyDescent="0.25">
      <c r="B41" t="s">
        <v>25</v>
      </c>
      <c r="H41" s="18">
        <v>0</v>
      </c>
      <c r="I41" s="3">
        <v>0</v>
      </c>
      <c r="J41" s="3">
        <f t="shared" si="0"/>
        <v>0</v>
      </c>
    </row>
    <row r="42" spans="2:10" x14ac:dyDescent="0.25">
      <c r="B42" t="s">
        <v>26</v>
      </c>
      <c r="H42" s="18">
        <v>0</v>
      </c>
      <c r="I42" s="3">
        <v>0</v>
      </c>
      <c r="J42" s="3">
        <f t="shared" si="0"/>
        <v>0</v>
      </c>
    </row>
    <row r="43" spans="2:10" x14ac:dyDescent="0.25">
      <c r="B43" t="s">
        <v>146</v>
      </c>
      <c r="H43" s="18">
        <v>0</v>
      </c>
      <c r="I43" s="3">
        <v>0</v>
      </c>
      <c r="J43" s="3">
        <f t="shared" ref="J43" si="1">SUM(H43, I43)</f>
        <v>0</v>
      </c>
    </row>
    <row r="44" spans="2:10" x14ac:dyDescent="0.25">
      <c r="B44" t="s">
        <v>27</v>
      </c>
      <c r="H44" s="18">
        <v>10</v>
      </c>
      <c r="I44" s="3">
        <v>0</v>
      </c>
      <c r="J44" s="3">
        <f t="shared" si="0"/>
        <v>10</v>
      </c>
    </row>
    <row r="45" spans="2:10" x14ac:dyDescent="0.25">
      <c r="B45" t="s">
        <v>28</v>
      </c>
      <c r="H45" s="18">
        <v>20</v>
      </c>
      <c r="I45" s="3">
        <v>0</v>
      </c>
      <c r="J45" s="3">
        <f t="shared" si="0"/>
        <v>20</v>
      </c>
    </row>
    <row r="46" spans="2:10" x14ac:dyDescent="0.25">
      <c r="B46" t="s">
        <v>134</v>
      </c>
      <c r="G46" s="20">
        <v>7.0000000000000007E-2</v>
      </c>
      <c r="H46" s="3">
        <f>((SUM(H22,H27, H32,H37,H39:H41, H43, H45)*0.5))*$G$46</f>
        <v>6.4925000000000006</v>
      </c>
      <c r="I46" s="3">
        <v>0</v>
      </c>
      <c r="J46" s="3">
        <f t="shared" si="0"/>
        <v>6.4925000000000006</v>
      </c>
    </row>
    <row r="48" spans="2:10" x14ac:dyDescent="0.25">
      <c r="B48" t="s">
        <v>35</v>
      </c>
      <c r="H48" s="3">
        <f>SUM(H22, H32, H37, H39:H46)</f>
        <v>125.99250000000001</v>
      </c>
      <c r="I48" s="3">
        <f>SUM(I22, I32, I37, I39:I46)</f>
        <v>0</v>
      </c>
      <c r="J48" s="3">
        <f>SUM(H48, I48)</f>
        <v>125.99250000000001</v>
      </c>
    </row>
    <row r="50" spans="1:10" x14ac:dyDescent="0.25">
      <c r="A50" s="7" t="s">
        <v>135</v>
      </c>
    </row>
    <row r="51" spans="1:10" x14ac:dyDescent="0.25">
      <c r="H51" s="4" t="s">
        <v>11</v>
      </c>
      <c r="I51" s="4" t="s">
        <v>12</v>
      </c>
      <c r="J51" s="4" t="s">
        <v>6</v>
      </c>
    </row>
    <row r="52" spans="1:10" x14ac:dyDescent="0.25">
      <c r="H52" s="4"/>
      <c r="I52" s="4"/>
    </row>
    <row r="53" spans="1:10" x14ac:dyDescent="0.25">
      <c r="B53" t="s">
        <v>204</v>
      </c>
      <c r="H53" s="18">
        <v>0.99</v>
      </c>
      <c r="I53" s="18">
        <v>4.2</v>
      </c>
      <c r="J53" s="3">
        <f>SUM(H53, I53)</f>
        <v>5.19</v>
      </c>
    </row>
    <row r="54" spans="1:10" x14ac:dyDescent="0.25">
      <c r="B54" t="s">
        <v>139</v>
      </c>
      <c r="H54" s="18">
        <v>3.86</v>
      </c>
      <c r="I54" s="18">
        <v>14.16</v>
      </c>
      <c r="J54" s="3">
        <f t="shared" ref="J54:J67" si="2">SUM(H54, I54)</f>
        <v>18.02</v>
      </c>
    </row>
    <row r="55" spans="1:10" x14ac:dyDescent="0.25">
      <c r="B55" t="s">
        <v>156</v>
      </c>
      <c r="H55" s="18">
        <v>1.8</v>
      </c>
      <c r="I55" s="18">
        <v>9.74</v>
      </c>
      <c r="J55" s="3">
        <f t="shared" si="2"/>
        <v>11.540000000000001</v>
      </c>
    </row>
    <row r="56" spans="1:10" x14ac:dyDescent="0.25">
      <c r="B56" t="s">
        <v>156</v>
      </c>
      <c r="H56" s="18">
        <v>1.8</v>
      </c>
      <c r="I56" s="18">
        <v>9.74</v>
      </c>
      <c r="J56" s="3">
        <f t="shared" si="2"/>
        <v>11.540000000000001</v>
      </c>
    </row>
    <row r="57" spans="1:10" x14ac:dyDescent="0.25">
      <c r="B57" t="s">
        <v>157</v>
      </c>
      <c r="H57" s="18">
        <v>5.7</v>
      </c>
      <c r="I57" s="18">
        <v>13.38</v>
      </c>
      <c r="J57" s="3">
        <f t="shared" si="2"/>
        <v>19.080000000000002</v>
      </c>
    </row>
    <row r="58" spans="1:10" x14ac:dyDescent="0.25">
      <c r="B58" t="s">
        <v>33</v>
      </c>
      <c r="H58" s="18">
        <v>0</v>
      </c>
      <c r="I58" s="18">
        <v>0</v>
      </c>
      <c r="J58" s="3">
        <f t="shared" si="2"/>
        <v>0</v>
      </c>
    </row>
    <row r="59" spans="1:10" x14ac:dyDescent="0.25">
      <c r="B59" t="s">
        <v>33</v>
      </c>
      <c r="H59" s="18">
        <v>0</v>
      </c>
      <c r="I59" s="18">
        <v>0</v>
      </c>
      <c r="J59" s="3">
        <f t="shared" si="2"/>
        <v>0</v>
      </c>
    </row>
    <row r="60" spans="1:10" x14ac:dyDescent="0.25">
      <c r="B60" t="s">
        <v>33</v>
      </c>
      <c r="H60" s="18">
        <v>0</v>
      </c>
      <c r="I60" s="18">
        <v>0</v>
      </c>
      <c r="J60" s="3">
        <f t="shared" si="2"/>
        <v>0</v>
      </c>
    </row>
    <row r="61" spans="1:10" x14ac:dyDescent="0.25">
      <c r="B61" t="s">
        <v>33</v>
      </c>
      <c r="H61" s="18">
        <v>0</v>
      </c>
      <c r="I61" s="18">
        <v>0</v>
      </c>
      <c r="J61" s="3">
        <f t="shared" si="2"/>
        <v>0</v>
      </c>
    </row>
    <row r="62" spans="1:10" x14ac:dyDescent="0.25">
      <c r="B62" t="s">
        <v>33</v>
      </c>
      <c r="H62" s="18">
        <v>0</v>
      </c>
      <c r="I62" s="18">
        <v>0</v>
      </c>
      <c r="J62" s="3">
        <f t="shared" si="2"/>
        <v>0</v>
      </c>
    </row>
    <row r="63" spans="1:10" x14ac:dyDescent="0.25">
      <c r="B63" t="s">
        <v>33</v>
      </c>
      <c r="H63" s="18">
        <v>0</v>
      </c>
      <c r="I63" s="18">
        <v>0</v>
      </c>
      <c r="J63" s="3">
        <f t="shared" si="2"/>
        <v>0</v>
      </c>
    </row>
    <row r="64" spans="1:10" x14ac:dyDescent="0.25">
      <c r="B64" t="s">
        <v>33</v>
      </c>
      <c r="H64" s="18">
        <v>0</v>
      </c>
      <c r="I64" s="18">
        <v>0</v>
      </c>
      <c r="J64" s="3">
        <f t="shared" si="2"/>
        <v>0</v>
      </c>
    </row>
    <row r="65" spans="1:10" x14ac:dyDescent="0.25">
      <c r="B65" t="s">
        <v>33</v>
      </c>
      <c r="H65" s="18">
        <v>0</v>
      </c>
      <c r="I65" s="18">
        <v>0</v>
      </c>
      <c r="J65" s="3">
        <f t="shared" si="2"/>
        <v>0</v>
      </c>
    </row>
    <row r="66" spans="1:10" x14ac:dyDescent="0.25">
      <c r="H66" s="3"/>
      <c r="I66" s="3"/>
      <c r="J66" s="3"/>
    </row>
    <row r="67" spans="1:10" x14ac:dyDescent="0.25">
      <c r="B67" t="s">
        <v>35</v>
      </c>
      <c r="H67" s="3">
        <f>SUM((H53*$G$30), H54:H65)</f>
        <v>14.149999999999999</v>
      </c>
      <c r="I67" s="3">
        <f>SUM((I53*$G$30), I54:I65)</f>
        <v>51.220000000000006</v>
      </c>
      <c r="J67" s="3">
        <f t="shared" si="2"/>
        <v>65.37</v>
      </c>
    </row>
    <row r="69" spans="1:10" x14ac:dyDescent="0.25">
      <c r="A69" s="7" t="s">
        <v>36</v>
      </c>
    </row>
    <row r="70" spans="1:10" x14ac:dyDescent="0.25">
      <c r="H70" s="4" t="s">
        <v>11</v>
      </c>
      <c r="I70" s="4" t="s">
        <v>12</v>
      </c>
      <c r="J70" s="4" t="s">
        <v>6</v>
      </c>
    </row>
    <row r="72" spans="1:10" x14ac:dyDescent="0.25">
      <c r="B72" t="s">
        <v>164</v>
      </c>
      <c r="H72" s="18">
        <v>11.58</v>
      </c>
      <c r="I72" s="18">
        <v>28.98</v>
      </c>
      <c r="J72" s="3">
        <f>H72+I72</f>
        <v>40.56</v>
      </c>
    </row>
    <row r="73" spans="1:10" x14ac:dyDescent="0.25">
      <c r="H73" s="26"/>
      <c r="I73" s="26"/>
      <c r="J73" s="3"/>
    </row>
    <row r="74" spans="1:10" x14ac:dyDescent="0.25">
      <c r="B74" t="s">
        <v>158</v>
      </c>
      <c r="H74" s="26"/>
      <c r="I74" s="26"/>
      <c r="J74" s="3"/>
    </row>
    <row r="75" spans="1:10" x14ac:dyDescent="0.25">
      <c r="C75" t="s">
        <v>159</v>
      </c>
      <c r="G75" s="27">
        <v>1</v>
      </c>
      <c r="H75" s="26"/>
      <c r="I75" s="26"/>
      <c r="J75" s="3"/>
    </row>
    <row r="76" spans="1:10" x14ac:dyDescent="0.25">
      <c r="C76" t="s">
        <v>171</v>
      </c>
      <c r="H76" s="18">
        <v>4.17</v>
      </c>
      <c r="I76" s="18">
        <v>10.17</v>
      </c>
      <c r="J76" s="3"/>
    </row>
    <row r="77" spans="1:10" x14ac:dyDescent="0.25">
      <c r="C77" t="s">
        <v>172</v>
      </c>
      <c r="H77" s="18">
        <v>2.0499999999999998</v>
      </c>
      <c r="I77" s="18">
        <v>5.84</v>
      </c>
      <c r="J77" s="3"/>
    </row>
    <row r="78" spans="1:10" x14ac:dyDescent="0.25">
      <c r="C78" t="s">
        <v>173</v>
      </c>
      <c r="H78" s="18">
        <v>5.1100000000000003</v>
      </c>
      <c r="I78" s="18">
        <v>17.8</v>
      </c>
      <c r="J78" s="3"/>
    </row>
    <row r="79" spans="1:10" x14ac:dyDescent="0.25">
      <c r="H79" s="26"/>
      <c r="I79" s="26"/>
      <c r="J79" s="3"/>
    </row>
    <row r="80" spans="1:10" x14ac:dyDescent="0.25">
      <c r="C80" t="s">
        <v>35</v>
      </c>
      <c r="H80" s="26">
        <f>(H76*$G$75)+(H77*$G$75)+(H78*$I$6)</f>
        <v>11.33</v>
      </c>
      <c r="I80" s="26">
        <f>(I76*$G$75)+(I77*$G$75)+(I78*$I$6)</f>
        <v>33.81</v>
      </c>
      <c r="J80" s="3">
        <f>SUM(H80, I80)</f>
        <v>45.14</v>
      </c>
    </row>
    <row r="81" spans="1:10" x14ac:dyDescent="0.25">
      <c r="H81" s="26"/>
      <c r="I81" s="26"/>
      <c r="J81" s="3"/>
    </row>
    <row r="82" spans="1:10" x14ac:dyDescent="0.25">
      <c r="B82" t="s">
        <v>160</v>
      </c>
    </row>
    <row r="83" spans="1:10" x14ac:dyDescent="0.25">
      <c r="C83" t="s">
        <v>131</v>
      </c>
      <c r="G83" s="18">
        <v>0.15</v>
      </c>
      <c r="H83" s="3">
        <f>$G$83*$I$5</f>
        <v>9</v>
      </c>
      <c r="I83" s="3">
        <v>0</v>
      </c>
      <c r="J83" s="3">
        <f>SUM(H83, I83)</f>
        <v>9</v>
      </c>
    </row>
    <row r="85" spans="1:10" x14ac:dyDescent="0.25">
      <c r="B85" t="s">
        <v>161</v>
      </c>
    </row>
    <row r="86" spans="1:10" x14ac:dyDescent="0.25">
      <c r="C86" t="s">
        <v>162</v>
      </c>
      <c r="G86" s="28"/>
      <c r="H86" s="21">
        <v>1.05</v>
      </c>
      <c r="I86" s="18">
        <v>2.96</v>
      </c>
    </row>
    <row r="88" spans="1:10" x14ac:dyDescent="0.25">
      <c r="B88" t="s">
        <v>35</v>
      </c>
      <c r="H88" s="3">
        <f xml:space="preserve"> SUM(H72, H80, H83, (H86*$I$6))</f>
        <v>32.96</v>
      </c>
      <c r="I88" s="3">
        <f xml:space="preserve"> SUM(I72, I80, I83, (I86*$I$6))</f>
        <v>65.75</v>
      </c>
      <c r="J88" s="3">
        <f>SUM(H88, I88)</f>
        <v>98.710000000000008</v>
      </c>
    </row>
    <row r="90" spans="1:10" x14ac:dyDescent="0.25">
      <c r="A90" s="7" t="s">
        <v>43</v>
      </c>
    </row>
    <row r="92" spans="1:10" x14ac:dyDescent="0.25">
      <c r="B92" t="s">
        <v>41</v>
      </c>
    </row>
    <row r="93" spans="1:10" x14ac:dyDescent="0.25">
      <c r="C93" t="s">
        <v>44</v>
      </c>
      <c r="G93" s="18">
        <v>1.55</v>
      </c>
    </row>
    <row r="94" spans="1:10" x14ac:dyDescent="0.25">
      <c r="C94" t="s">
        <v>45</v>
      </c>
      <c r="G94" s="18">
        <v>20</v>
      </c>
    </row>
    <row r="95" spans="1:10" x14ac:dyDescent="0.25">
      <c r="C95" t="s">
        <v>46</v>
      </c>
      <c r="H95" s="3">
        <v>0</v>
      </c>
      <c r="I95" s="3">
        <f>G93*G94</f>
        <v>31</v>
      </c>
      <c r="J95" s="3">
        <f>SUM(H95, I95)</f>
        <v>31</v>
      </c>
    </row>
    <row r="97" spans="1:10" x14ac:dyDescent="0.25">
      <c r="B97" t="s">
        <v>42</v>
      </c>
    </row>
    <row r="98" spans="1:10" x14ac:dyDescent="0.25">
      <c r="C98" t="s">
        <v>44</v>
      </c>
      <c r="G98" s="18">
        <v>1</v>
      </c>
    </row>
    <row r="99" spans="1:10" x14ac:dyDescent="0.25">
      <c r="C99" t="s">
        <v>45</v>
      </c>
      <c r="G99" s="18">
        <v>25</v>
      </c>
    </row>
    <row r="100" spans="1:10" x14ac:dyDescent="0.25">
      <c r="C100" t="s">
        <v>42</v>
      </c>
      <c r="H100" s="3">
        <v>0</v>
      </c>
      <c r="I100" s="3">
        <f>G98*G99</f>
        <v>25</v>
      </c>
      <c r="J100" s="3">
        <f>SUM(H100, I100)</f>
        <v>25</v>
      </c>
    </row>
    <row r="102" spans="1:10" x14ac:dyDescent="0.25">
      <c r="B102" t="s">
        <v>35</v>
      </c>
      <c r="H102" s="3">
        <f>SUM(H95, H100)</f>
        <v>0</v>
      </c>
      <c r="I102" s="3">
        <f>SUM(I95, I100)</f>
        <v>56</v>
      </c>
      <c r="J102" s="3">
        <f>SUM(H102, I102)</f>
        <v>56</v>
      </c>
    </row>
    <row r="104" spans="1:10" x14ac:dyDescent="0.25">
      <c r="A104" s="7" t="s">
        <v>47</v>
      </c>
    </row>
    <row r="106" spans="1:10" x14ac:dyDescent="0.25">
      <c r="B106" t="s">
        <v>48</v>
      </c>
      <c r="H106" s="3">
        <v>0</v>
      </c>
      <c r="I106" s="18">
        <v>255</v>
      </c>
      <c r="J106" s="3">
        <f>SUM(H106, I106)</f>
        <v>255</v>
      </c>
    </row>
    <row r="107" spans="1:10" x14ac:dyDescent="0.25">
      <c r="H107" s="3"/>
      <c r="I107" s="3"/>
    </row>
    <row r="108" spans="1:10" x14ac:dyDescent="0.25">
      <c r="A108" s="7" t="s">
        <v>136</v>
      </c>
    </row>
    <row r="110" spans="1:10" x14ac:dyDescent="0.25">
      <c r="B110" t="s">
        <v>51</v>
      </c>
      <c r="H110" s="3">
        <f>SUM(H48, H67, H88, H102, H106)</f>
        <v>173.10250000000002</v>
      </c>
      <c r="I110" s="3">
        <f>SUM(I48, I67, I88, I102, I106)</f>
        <v>427.97</v>
      </c>
      <c r="J110" s="3">
        <f>SUM(H110, I110)</f>
        <v>601.07249999999999</v>
      </c>
    </row>
    <row r="112" spans="1:10" x14ac:dyDescent="0.25">
      <c r="A112" s="7" t="s">
        <v>137</v>
      </c>
    </row>
    <row r="114" spans="1:10" x14ac:dyDescent="0.25">
      <c r="B114" t="s">
        <v>51</v>
      </c>
      <c r="J114" s="3">
        <f>J14-H110</f>
        <v>211.89749999999998</v>
      </c>
    </row>
    <row r="116" spans="1:10" x14ac:dyDescent="0.25">
      <c r="A116" s="7" t="s">
        <v>138</v>
      </c>
    </row>
    <row r="118" spans="1:10" x14ac:dyDescent="0.25">
      <c r="B118" t="s">
        <v>51</v>
      </c>
      <c r="J118" s="3">
        <f>J14-J110</f>
        <v>-216.07249999999999</v>
      </c>
    </row>
  </sheetData>
  <sheetProtection sheet="1" objects="1" scenarios="1"/>
  <printOptions headings="1" gridLines="1"/>
  <pageMargins left="0.7" right="0.7" top="0.75" bottom="0.75" header="0.3" footer="0.3"/>
  <pageSetup scale="39" orientation="portrait" r:id="rId1"/>
  <ignoredErrors>
    <ignoredError sqref="H80:I8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03"/>
  <sheetViews>
    <sheetView zoomScale="150" zoomScaleNormal="150" workbookViewId="0"/>
  </sheetViews>
  <sheetFormatPr defaultRowHeight="15" x14ac:dyDescent="0.25"/>
  <sheetData>
    <row r="1" spans="1:10" x14ac:dyDescent="0.25">
      <c r="A1" s="1" t="s">
        <v>115</v>
      </c>
      <c r="G1" s="16"/>
    </row>
    <row r="3" spans="1:10" x14ac:dyDescent="0.25">
      <c r="A3" s="7" t="s">
        <v>1</v>
      </c>
    </row>
    <row r="5" spans="1:10" x14ac:dyDescent="0.25">
      <c r="B5" t="s">
        <v>3</v>
      </c>
      <c r="I5" s="18">
        <v>4.5</v>
      </c>
      <c r="J5" s="3"/>
    </row>
    <row r="6" spans="1:10" x14ac:dyDescent="0.25">
      <c r="B6" t="s">
        <v>2</v>
      </c>
      <c r="I6" s="18">
        <v>160</v>
      </c>
      <c r="J6" s="2"/>
    </row>
    <row r="7" spans="1:10" x14ac:dyDescent="0.25">
      <c r="B7" t="s">
        <v>9</v>
      </c>
      <c r="J7" s="24">
        <f>(I5*I6)</f>
        <v>720</v>
      </c>
    </row>
    <row r="8" spans="1:10" x14ac:dyDescent="0.25">
      <c r="B8" t="s">
        <v>4</v>
      </c>
      <c r="J8" s="18">
        <v>0</v>
      </c>
    </row>
    <row r="9" spans="1:10" x14ac:dyDescent="0.25">
      <c r="B9" t="s">
        <v>5</v>
      </c>
      <c r="J9" s="18">
        <v>0</v>
      </c>
    </row>
    <row r="10" spans="1:10" x14ac:dyDescent="0.25">
      <c r="B10" t="s">
        <v>10</v>
      </c>
      <c r="J10" s="18">
        <v>0</v>
      </c>
    </row>
    <row r="12" spans="1:10" x14ac:dyDescent="0.25">
      <c r="B12" t="s">
        <v>6</v>
      </c>
      <c r="J12" s="24">
        <f>SUM(J7:J10)</f>
        <v>720</v>
      </c>
    </row>
    <row r="14" spans="1:10" x14ac:dyDescent="0.25">
      <c r="A14" s="7" t="s">
        <v>34</v>
      </c>
    </row>
    <row r="15" spans="1:10" x14ac:dyDescent="0.25">
      <c r="H15" s="4" t="s">
        <v>11</v>
      </c>
      <c r="I15" s="4" t="s">
        <v>12</v>
      </c>
      <c r="J15" s="4" t="s">
        <v>6</v>
      </c>
    </row>
    <row r="16" spans="1:10" x14ac:dyDescent="0.25">
      <c r="H16" s="4"/>
      <c r="I16" s="4"/>
      <c r="J16" s="4"/>
    </row>
    <row r="17" spans="2:10" x14ac:dyDescent="0.25">
      <c r="B17" t="s">
        <v>140</v>
      </c>
    </row>
    <row r="18" spans="2:10" x14ac:dyDescent="0.25">
      <c r="C18" t="s">
        <v>223</v>
      </c>
      <c r="G18" s="17">
        <v>1</v>
      </c>
    </row>
    <row r="19" spans="2:10" x14ac:dyDescent="0.25">
      <c r="C19" t="s">
        <v>17</v>
      </c>
      <c r="G19" s="18">
        <v>57</v>
      </c>
    </row>
    <row r="20" spans="2:10" x14ac:dyDescent="0.25">
      <c r="C20" t="s">
        <v>142</v>
      </c>
      <c r="H20" s="3">
        <f>G18*G19</f>
        <v>57</v>
      </c>
      <c r="I20" s="3">
        <v>0</v>
      </c>
      <c r="J20" s="3">
        <f>SUM(H20, I20)</f>
        <v>57</v>
      </c>
    </row>
    <row r="22" spans="2:10" x14ac:dyDescent="0.25">
      <c r="B22" t="s">
        <v>141</v>
      </c>
    </row>
    <row r="23" spans="2:10" x14ac:dyDescent="0.25">
      <c r="C23" t="s">
        <v>143</v>
      </c>
      <c r="G23" s="23">
        <v>0</v>
      </c>
    </row>
    <row r="24" spans="2:10" x14ac:dyDescent="0.25">
      <c r="C24" t="s">
        <v>145</v>
      </c>
      <c r="G24" s="22">
        <v>2.5000000000000001E-2</v>
      </c>
    </row>
    <row r="25" spans="2:10" x14ac:dyDescent="0.25">
      <c r="C25" t="s">
        <v>144</v>
      </c>
      <c r="H25" s="3">
        <f>G23*G24</f>
        <v>0</v>
      </c>
      <c r="I25" s="3">
        <v>0</v>
      </c>
      <c r="J25" s="3">
        <f>SUM(H25, I25)</f>
        <v>0</v>
      </c>
    </row>
    <row r="27" spans="2:10" x14ac:dyDescent="0.25">
      <c r="B27" t="s">
        <v>23</v>
      </c>
      <c r="H27" s="18">
        <v>0</v>
      </c>
      <c r="I27" s="3">
        <v>0</v>
      </c>
      <c r="J27" s="3">
        <f t="shared" ref="J27:J33" si="0">SUM(H27, I27)</f>
        <v>0</v>
      </c>
    </row>
    <row r="28" spans="2:10" x14ac:dyDescent="0.25">
      <c r="B28" t="s">
        <v>24</v>
      </c>
      <c r="H28" s="18">
        <v>0</v>
      </c>
      <c r="I28" s="3">
        <v>0</v>
      </c>
      <c r="J28" s="3">
        <f t="shared" si="0"/>
        <v>0</v>
      </c>
    </row>
    <row r="29" spans="2:10" x14ac:dyDescent="0.25">
      <c r="B29" t="s">
        <v>25</v>
      </c>
      <c r="H29" s="18">
        <v>0</v>
      </c>
      <c r="I29" s="3">
        <v>0</v>
      </c>
      <c r="J29" s="3">
        <f t="shared" si="0"/>
        <v>0</v>
      </c>
    </row>
    <row r="30" spans="2:10" x14ac:dyDescent="0.25">
      <c r="B30" t="s">
        <v>26</v>
      </c>
      <c r="H30" s="18">
        <v>0</v>
      </c>
      <c r="I30" s="3">
        <v>0</v>
      </c>
      <c r="J30" s="3">
        <f t="shared" si="0"/>
        <v>0</v>
      </c>
    </row>
    <row r="31" spans="2:10" x14ac:dyDescent="0.25">
      <c r="B31" t="s">
        <v>27</v>
      </c>
      <c r="H31" s="18">
        <v>10</v>
      </c>
      <c r="I31" s="3">
        <v>0</v>
      </c>
      <c r="J31" s="3">
        <f t="shared" si="0"/>
        <v>10</v>
      </c>
    </row>
    <row r="32" spans="2:10" x14ac:dyDescent="0.25">
      <c r="B32" t="s">
        <v>28</v>
      </c>
      <c r="H32" s="18">
        <v>20</v>
      </c>
      <c r="I32" s="3">
        <v>0</v>
      </c>
      <c r="J32" s="3">
        <f t="shared" si="0"/>
        <v>20</v>
      </c>
    </row>
    <row r="33" spans="1:10" x14ac:dyDescent="0.25">
      <c r="B33" t="s">
        <v>134</v>
      </c>
      <c r="G33" s="20">
        <v>7.0000000000000007E-2</v>
      </c>
      <c r="H33" s="3">
        <f>((SUM(H20,H25,H27:H29, H32)*0.5))*$G$33</f>
        <v>2.6950000000000003</v>
      </c>
      <c r="I33" s="3">
        <v>0</v>
      </c>
      <c r="J33" s="3">
        <f t="shared" si="0"/>
        <v>2.6950000000000003</v>
      </c>
    </row>
    <row r="35" spans="1:10" x14ac:dyDescent="0.25">
      <c r="B35" t="s">
        <v>35</v>
      </c>
      <c r="H35" s="3">
        <f>SUM(H20, H25, H27:H33)</f>
        <v>89.694999999999993</v>
      </c>
      <c r="I35" s="3">
        <f>SUM(I20, I25, I27:I33)</f>
        <v>0</v>
      </c>
      <c r="J35" s="3">
        <f>SUM(H35, I35)</f>
        <v>89.694999999999993</v>
      </c>
    </row>
    <row r="37" spans="1:10" x14ac:dyDescent="0.25">
      <c r="A37" s="7" t="s">
        <v>135</v>
      </c>
    </row>
    <row r="38" spans="1:10" x14ac:dyDescent="0.25">
      <c r="H38" s="4" t="s">
        <v>11</v>
      </c>
      <c r="I38" s="4" t="s">
        <v>12</v>
      </c>
      <c r="J38" s="4" t="s">
        <v>6</v>
      </c>
    </row>
    <row r="39" spans="1:10" x14ac:dyDescent="0.25">
      <c r="H39" s="4"/>
      <c r="I39" s="4"/>
    </row>
    <row r="40" spans="1:10" x14ac:dyDescent="0.25">
      <c r="B40" t="s">
        <v>204</v>
      </c>
      <c r="H40" s="18">
        <v>0.99</v>
      </c>
      <c r="I40" s="18">
        <v>4.2</v>
      </c>
      <c r="J40" s="3">
        <f>SUM(H40, I40)</f>
        <v>5.19</v>
      </c>
    </row>
    <row r="41" spans="1:10" x14ac:dyDescent="0.25">
      <c r="B41" t="s">
        <v>174</v>
      </c>
      <c r="H41" s="18">
        <v>2.48</v>
      </c>
      <c r="I41" s="18">
        <v>10.59</v>
      </c>
      <c r="J41" s="3">
        <f t="shared" ref="J41:J54" si="1">SUM(H41, I41)</f>
        <v>13.07</v>
      </c>
    </row>
    <row r="42" spans="1:10" x14ac:dyDescent="0.25">
      <c r="B42" t="s">
        <v>33</v>
      </c>
      <c r="H42" s="18">
        <v>0</v>
      </c>
      <c r="I42" s="18">
        <v>0</v>
      </c>
      <c r="J42" s="3">
        <f t="shared" si="1"/>
        <v>0</v>
      </c>
    </row>
    <row r="43" spans="1:10" x14ac:dyDescent="0.25">
      <c r="B43" t="s">
        <v>33</v>
      </c>
      <c r="H43" s="18">
        <v>0</v>
      </c>
      <c r="I43" s="18">
        <v>0</v>
      </c>
      <c r="J43" s="3">
        <f t="shared" si="1"/>
        <v>0</v>
      </c>
    </row>
    <row r="44" spans="1:10" x14ac:dyDescent="0.25">
      <c r="B44" t="s">
        <v>33</v>
      </c>
      <c r="H44" s="18">
        <v>0</v>
      </c>
      <c r="I44" s="18">
        <v>0</v>
      </c>
      <c r="J44" s="3">
        <f t="shared" si="1"/>
        <v>0</v>
      </c>
    </row>
    <row r="45" spans="1:10" x14ac:dyDescent="0.25">
      <c r="B45" t="s">
        <v>33</v>
      </c>
      <c r="H45" s="18">
        <v>0</v>
      </c>
      <c r="I45" s="18">
        <v>0</v>
      </c>
      <c r="J45" s="3">
        <f t="shared" si="1"/>
        <v>0</v>
      </c>
    </row>
    <row r="46" spans="1:10" x14ac:dyDescent="0.25">
      <c r="B46" t="s">
        <v>33</v>
      </c>
      <c r="H46" s="18">
        <v>0</v>
      </c>
      <c r="I46" s="18">
        <v>0</v>
      </c>
      <c r="J46" s="3">
        <f t="shared" si="1"/>
        <v>0</v>
      </c>
    </row>
    <row r="47" spans="1:10" x14ac:dyDescent="0.25">
      <c r="B47" t="s">
        <v>33</v>
      </c>
      <c r="H47" s="18">
        <v>0</v>
      </c>
      <c r="I47" s="18">
        <v>0</v>
      </c>
      <c r="J47" s="3">
        <f t="shared" si="1"/>
        <v>0</v>
      </c>
    </row>
    <row r="48" spans="1:10" x14ac:dyDescent="0.25">
      <c r="B48" t="s">
        <v>33</v>
      </c>
      <c r="H48" s="18">
        <v>0</v>
      </c>
      <c r="I48" s="18">
        <v>0</v>
      </c>
      <c r="J48" s="3">
        <f t="shared" si="1"/>
        <v>0</v>
      </c>
    </row>
    <row r="49" spans="1:10" x14ac:dyDescent="0.25">
      <c r="B49" t="s">
        <v>33</v>
      </c>
      <c r="H49" s="18">
        <v>0</v>
      </c>
      <c r="I49" s="18">
        <v>0</v>
      </c>
      <c r="J49" s="3">
        <f t="shared" si="1"/>
        <v>0</v>
      </c>
    </row>
    <row r="50" spans="1:10" x14ac:dyDescent="0.25">
      <c r="B50" t="s">
        <v>33</v>
      </c>
      <c r="H50" s="18">
        <v>0</v>
      </c>
      <c r="I50" s="18">
        <v>0</v>
      </c>
      <c r="J50" s="3">
        <f t="shared" si="1"/>
        <v>0</v>
      </c>
    </row>
    <row r="51" spans="1:10" x14ac:dyDescent="0.25">
      <c r="B51" t="s">
        <v>33</v>
      </c>
      <c r="H51" s="18">
        <v>0</v>
      </c>
      <c r="I51" s="18">
        <v>0</v>
      </c>
      <c r="J51" s="3">
        <f t="shared" si="1"/>
        <v>0</v>
      </c>
    </row>
    <row r="52" spans="1:10" x14ac:dyDescent="0.25">
      <c r="B52" t="s">
        <v>33</v>
      </c>
      <c r="H52" s="18">
        <v>0</v>
      </c>
      <c r="I52" s="18">
        <v>0</v>
      </c>
      <c r="J52" s="3">
        <f t="shared" si="1"/>
        <v>0</v>
      </c>
    </row>
    <row r="53" spans="1:10" x14ac:dyDescent="0.25">
      <c r="H53" s="3"/>
      <c r="I53" s="3"/>
      <c r="J53" s="3"/>
    </row>
    <row r="54" spans="1:10" x14ac:dyDescent="0.25">
      <c r="B54" t="s">
        <v>35</v>
      </c>
      <c r="H54" s="3">
        <f>SUM((H40*$G$18), (H41*($G$23/1000)), H42:H52)</f>
        <v>0.99</v>
      </c>
      <c r="I54" s="3">
        <f>SUM((I40*$G$18), (I41*($G$23/1000)), I42:I52)</f>
        <v>4.2</v>
      </c>
      <c r="J54" s="3">
        <f t="shared" si="1"/>
        <v>5.19</v>
      </c>
    </row>
    <row r="56" spans="1:10" x14ac:dyDescent="0.25">
      <c r="A56" s="7" t="s">
        <v>36</v>
      </c>
    </row>
    <row r="57" spans="1:10" x14ac:dyDescent="0.25">
      <c r="H57" s="4" t="s">
        <v>11</v>
      </c>
      <c r="I57" s="4" t="s">
        <v>12</v>
      </c>
      <c r="J57" s="4" t="s">
        <v>6</v>
      </c>
    </row>
    <row r="59" spans="1:10" x14ac:dyDescent="0.25">
      <c r="B59" t="s">
        <v>158</v>
      </c>
      <c r="H59" s="26"/>
      <c r="I59" s="26"/>
      <c r="J59" s="3"/>
    </row>
    <row r="60" spans="1:10" x14ac:dyDescent="0.25">
      <c r="C60" t="s">
        <v>159</v>
      </c>
      <c r="G60" s="27">
        <v>3</v>
      </c>
      <c r="H60" s="26"/>
      <c r="I60" s="26"/>
      <c r="J60" s="3"/>
    </row>
    <row r="61" spans="1:10" x14ac:dyDescent="0.25">
      <c r="C61" t="s">
        <v>171</v>
      </c>
      <c r="H61" s="18">
        <v>4.17</v>
      </c>
      <c r="I61" s="18">
        <v>10.17</v>
      </c>
      <c r="J61" s="3"/>
    </row>
    <row r="62" spans="1:10" x14ac:dyDescent="0.25">
      <c r="C62" t="s">
        <v>172</v>
      </c>
      <c r="H62" s="18">
        <v>2.0499999999999998</v>
      </c>
      <c r="I62" s="18">
        <v>5.84</v>
      </c>
      <c r="J62" s="3"/>
    </row>
    <row r="63" spans="1:10" x14ac:dyDescent="0.25">
      <c r="C63" t="s">
        <v>173</v>
      </c>
      <c r="H63" s="18">
        <v>5.1100000000000003</v>
      </c>
      <c r="I63" s="18">
        <v>17.8</v>
      </c>
      <c r="J63" s="3"/>
    </row>
    <row r="64" spans="1:10" x14ac:dyDescent="0.25">
      <c r="H64" s="26"/>
      <c r="I64" s="26"/>
      <c r="J64" s="3"/>
    </row>
    <row r="65" spans="1:10" x14ac:dyDescent="0.25">
      <c r="C65" t="s">
        <v>35</v>
      </c>
      <c r="H65" s="26">
        <f>(H61*$G$60)+(H62*$G$60)+(H63*$I$5)</f>
        <v>41.655000000000001</v>
      </c>
      <c r="I65" s="26">
        <f>(I61*$G$60)+(I62*$G$60)+(I63*$I$5)</f>
        <v>128.13</v>
      </c>
      <c r="J65" s="3">
        <f>SUM(H65, I65)</f>
        <v>169.785</v>
      </c>
    </row>
    <row r="66" spans="1:10" x14ac:dyDescent="0.25">
      <c r="H66" s="26"/>
      <c r="I66" s="26"/>
      <c r="J66" s="3"/>
    </row>
    <row r="67" spans="1:10" x14ac:dyDescent="0.25">
      <c r="B67" t="s">
        <v>165</v>
      </c>
    </row>
    <row r="68" spans="1:10" x14ac:dyDescent="0.25">
      <c r="C68" t="s">
        <v>162</v>
      </c>
      <c r="G68" s="28"/>
      <c r="H68" s="21">
        <v>1.05</v>
      </c>
      <c r="I68" s="18">
        <v>2.96</v>
      </c>
    </row>
    <row r="70" spans="1:10" x14ac:dyDescent="0.25">
      <c r="B70" t="s">
        <v>35</v>
      </c>
      <c r="H70" s="3">
        <f xml:space="preserve"> SUM(H65, (H68*$I$5))</f>
        <v>46.38</v>
      </c>
      <c r="I70" s="3">
        <f xml:space="preserve"> SUM(I65, (I68*$I$5))</f>
        <v>141.44999999999999</v>
      </c>
      <c r="J70" s="3">
        <f>SUM(H70, I70)</f>
        <v>187.82999999999998</v>
      </c>
    </row>
    <row r="72" spans="1:10" x14ac:dyDescent="0.25">
      <c r="A72" s="7" t="s">
        <v>43</v>
      </c>
    </row>
    <row r="74" spans="1:10" x14ac:dyDescent="0.25">
      <c r="B74" t="s">
        <v>41</v>
      </c>
    </row>
    <row r="75" spans="1:10" x14ac:dyDescent="0.25">
      <c r="C75" t="s">
        <v>44</v>
      </c>
      <c r="G75" s="18">
        <v>4.25</v>
      </c>
    </row>
    <row r="76" spans="1:10" x14ac:dyDescent="0.25">
      <c r="C76" t="s">
        <v>45</v>
      </c>
      <c r="G76" s="18">
        <v>20</v>
      </c>
    </row>
    <row r="77" spans="1:10" x14ac:dyDescent="0.25">
      <c r="C77" t="s">
        <v>46</v>
      </c>
      <c r="H77" s="3">
        <v>0</v>
      </c>
      <c r="I77" s="3">
        <f>G75*G76</f>
        <v>85</v>
      </c>
      <c r="J77" s="3">
        <f>SUM(H77, I77)</f>
        <v>85</v>
      </c>
    </row>
    <row r="79" spans="1:10" x14ac:dyDescent="0.25">
      <c r="B79" t="s">
        <v>42</v>
      </c>
    </row>
    <row r="80" spans="1:10" x14ac:dyDescent="0.25">
      <c r="C80" t="s">
        <v>44</v>
      </c>
      <c r="G80" s="18">
        <v>1</v>
      </c>
    </row>
    <row r="81" spans="1:10" x14ac:dyDescent="0.25">
      <c r="C81" t="s">
        <v>45</v>
      </c>
      <c r="G81" s="18">
        <v>25</v>
      </c>
    </row>
    <row r="82" spans="1:10" x14ac:dyDescent="0.25">
      <c r="C82" t="s">
        <v>42</v>
      </c>
      <c r="H82" s="3">
        <v>0</v>
      </c>
      <c r="I82" s="3">
        <f>G80*G81</f>
        <v>25</v>
      </c>
      <c r="J82" s="3">
        <f>SUM(H82, I82)</f>
        <v>25</v>
      </c>
    </row>
    <row r="84" spans="1:10" x14ac:dyDescent="0.25">
      <c r="B84" t="s">
        <v>35</v>
      </c>
      <c r="H84" s="3">
        <f>SUM(H77, H82)</f>
        <v>0</v>
      </c>
      <c r="I84" s="3">
        <f>SUM(I77, I82)</f>
        <v>110</v>
      </c>
      <c r="J84" s="3">
        <f>SUM(H84, I84)</f>
        <v>110</v>
      </c>
    </row>
    <row r="86" spans="1:10" x14ac:dyDescent="0.25">
      <c r="A86" s="7" t="s">
        <v>47</v>
      </c>
    </row>
    <row r="88" spans="1:10" x14ac:dyDescent="0.25">
      <c r="B88" t="s">
        <v>48</v>
      </c>
      <c r="H88" s="3">
        <v>0</v>
      </c>
      <c r="I88" s="18">
        <v>255</v>
      </c>
      <c r="J88" s="3">
        <f>SUM(H88, I88)</f>
        <v>255</v>
      </c>
    </row>
    <row r="89" spans="1:10" x14ac:dyDescent="0.25">
      <c r="H89" s="3"/>
      <c r="I89" s="3"/>
    </row>
    <row r="90" spans="1:10" x14ac:dyDescent="0.25">
      <c r="A90" s="7" t="s">
        <v>136</v>
      </c>
    </row>
    <row r="92" spans="1:10" x14ac:dyDescent="0.25">
      <c r="B92" t="s">
        <v>51</v>
      </c>
      <c r="H92" s="3">
        <f>SUM(H35, H54, H70, H84, H88)</f>
        <v>137.065</v>
      </c>
      <c r="I92" s="3">
        <f>SUM(I35, I54, I70, I84, I88)</f>
        <v>510.65</v>
      </c>
      <c r="J92" s="3">
        <f>SUM(H92, I92)</f>
        <v>647.71499999999992</v>
      </c>
    </row>
    <row r="93" spans="1:10" x14ac:dyDescent="0.25">
      <c r="B93" t="s">
        <v>163</v>
      </c>
      <c r="H93" s="3">
        <f>H92/$I$5</f>
        <v>30.45888888888889</v>
      </c>
      <c r="I93" s="3">
        <f>I92/$I$5</f>
        <v>113.47777777777777</v>
      </c>
      <c r="J93" s="3">
        <f>SUM(H93, I93)</f>
        <v>143.93666666666667</v>
      </c>
    </row>
    <row r="95" spans="1:10" x14ac:dyDescent="0.25">
      <c r="A95" s="7" t="s">
        <v>137</v>
      </c>
    </row>
    <row r="97" spans="1:10" x14ac:dyDescent="0.25">
      <c r="B97" t="s">
        <v>51</v>
      </c>
      <c r="J97" s="3">
        <f>J12-H92</f>
        <v>582.93499999999995</v>
      </c>
    </row>
    <row r="98" spans="1:10" x14ac:dyDescent="0.25">
      <c r="B98" t="s">
        <v>163</v>
      </c>
      <c r="J98" s="3">
        <f>J97/$I$5</f>
        <v>129.54111111111109</v>
      </c>
    </row>
    <row r="100" spans="1:10" x14ac:dyDescent="0.25">
      <c r="A100" s="7" t="s">
        <v>138</v>
      </c>
    </row>
    <row r="102" spans="1:10" x14ac:dyDescent="0.25">
      <c r="B102" t="s">
        <v>51</v>
      </c>
      <c r="J102" s="3">
        <f>J12-J92</f>
        <v>72.285000000000082</v>
      </c>
    </row>
    <row r="103" spans="1:10" x14ac:dyDescent="0.25">
      <c r="B103" t="s">
        <v>163</v>
      </c>
      <c r="J103" s="3">
        <f>J102/$I$5</f>
        <v>16.06333333333335</v>
      </c>
    </row>
  </sheetData>
  <sheetProtection sheet="1" objects="1" scenarios="1"/>
  <printOptions headings="1" gridLines="1"/>
  <pageMargins left="0.7" right="0.7" top="0.75" bottom="0.75" header="0.3" footer="0.3"/>
  <pageSetup scale="45" orientation="portrait" r:id="rId1"/>
  <ignoredErrors>
    <ignoredError sqref="H65:I6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Notes</vt:lpstr>
      <vt:lpstr>Summary</vt:lpstr>
      <vt:lpstr>Annual Returns</vt:lpstr>
      <vt:lpstr>NPV Analysis</vt:lpstr>
      <vt:lpstr>Production Plans</vt:lpstr>
      <vt:lpstr>Conventional Corn</vt:lpstr>
      <vt:lpstr>Conventional Soybeans</vt:lpstr>
      <vt:lpstr>Transition Oats</vt:lpstr>
      <vt:lpstr>Transition Alfalfa</vt:lpstr>
      <vt:lpstr>Organic Corn</vt:lpstr>
      <vt:lpstr>Organic Soybeans</vt:lpstr>
      <vt:lpstr>Organic Oats</vt:lpstr>
      <vt:lpstr>Organic Alfalfa</vt:lpstr>
      <vt:lpstr>Long-Run Projections</vt:lpstr>
      <vt:lpstr>Acreage Proportions</vt:lpstr>
      <vt:lpstr>Field Operations</vt:lpstr>
    </vt:vector>
  </TitlesOfParts>
  <Company>Argicultural Economics - 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Network Supervisor</dc:creator>
  <cp:lastModifiedBy>Michael R Langemeier</cp:lastModifiedBy>
  <cp:lastPrinted>2024-04-24T13:41:40Z</cp:lastPrinted>
  <dcterms:created xsi:type="dcterms:W3CDTF">2018-11-05T23:22:10Z</dcterms:created>
  <dcterms:modified xsi:type="dcterms:W3CDTF">2026-06-29T13:36:21Z</dcterms:modified>
</cp:coreProperties>
</file>