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bookViews>
    <workbookView xWindow="1120" yWindow="1120" windowWidth="24480" windowHeight="13040" firstSheet="1" activeTab="1"/>
  </bookViews>
  <sheets>
    <sheet name="Calculations" sheetId="15" state="hidden" r:id="rId1"/>
    <sheet name="PCDS" sheetId="12" r:id="rId2"/>
    <sheet name="PCDS2" sheetId="27" r:id="rId3"/>
    <sheet name="CDS 2 Calculations" sheetId="26" state="hidden" r:id="rId4"/>
    <sheet name="Assumptions" sheetId="1" r:id="rId5"/>
    <sheet name="Cow-Calf" sheetId="2" r:id="rId6"/>
    <sheet name="Cow-Calf Investment" sheetId="7" state="hidden" r:id="rId7"/>
    <sheet name="Dairy Steer" sheetId="3" r:id="rId8"/>
    <sheet name="Dairy Steer Investment" sheetId="10" state="hidden" r:id="rId9"/>
    <sheet name="Sheep" sheetId="4" r:id="rId10"/>
    <sheet name="Sheep Investment" sheetId="8" state="hidden" r:id="rId11"/>
    <sheet name="Goat" sheetId="5" r:id="rId12"/>
    <sheet name="Goat Investment" sheetId="9" state="hidden" r:id="rId13"/>
    <sheet name="Turkey" sheetId="6" r:id="rId14"/>
    <sheet name="Turkey Investment" sheetId="11" state="hidden" r:id="rId15"/>
    <sheet name="Sheet1" sheetId="18" state="hidden" r:id="rId16"/>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8</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 name="solver_eng" localSheetId="5" hidden="1">1</definedName>
    <definedName name="solver_eng" localSheetId="6" hidden="1">1</definedName>
    <definedName name="solver_neg" localSheetId="5" hidden="1">1</definedName>
    <definedName name="solver_neg" localSheetId="6" hidden="1">1</definedName>
    <definedName name="solver_num" localSheetId="5" hidden="1">0</definedName>
    <definedName name="solver_num" localSheetId="6" hidden="1">0</definedName>
    <definedName name="solver_opt" localSheetId="5" hidden="1">'Cow-Calf'!#REF!</definedName>
    <definedName name="solver_opt" localSheetId="6" hidden="1">'Cow-Calf Investment'!$G$29</definedName>
    <definedName name="solver_typ" localSheetId="5" hidden="1">1</definedName>
    <definedName name="solver_typ" localSheetId="6" hidden="1">2</definedName>
    <definedName name="solver_val" localSheetId="5" hidden="1">0</definedName>
    <definedName name="solver_val" localSheetId="6" hidden="1">0</definedName>
    <definedName name="solver_ver" localSheetId="5" hidden="1">3</definedName>
    <definedName name="solver_ver" localSheetId="6" hidden="1">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6" i="2" l="1"/>
  <c r="E24" i="2"/>
  <c r="M16" i="6"/>
  <c r="M15" i="6"/>
  <c r="E12" i="5"/>
  <c r="H12" i="5"/>
  <c r="E13" i="5"/>
  <c r="H13" i="5"/>
  <c r="E14" i="5"/>
  <c r="H14" i="5"/>
  <c r="E15" i="5"/>
  <c r="H15" i="5"/>
  <c r="E16" i="5"/>
  <c r="H16" i="5"/>
  <c r="E17" i="5"/>
  <c r="H17" i="5"/>
  <c r="E18" i="5"/>
  <c r="H18" i="5"/>
  <c r="E19" i="5"/>
  <c r="H19" i="5"/>
  <c r="H20" i="5"/>
  <c r="E26" i="5"/>
  <c r="H26" i="5"/>
  <c r="E27" i="5"/>
  <c r="H27" i="5"/>
  <c r="H28" i="5"/>
  <c r="M23" i="5"/>
  <c r="M25" i="5"/>
  <c r="M27" i="5"/>
  <c r="H31" i="5"/>
  <c r="M8" i="5"/>
  <c r="H32" i="5"/>
  <c r="M15" i="5"/>
  <c r="H33" i="5"/>
  <c r="H34" i="5"/>
  <c r="H36" i="5"/>
  <c r="E7" i="5"/>
  <c r="H7" i="5"/>
  <c r="M30" i="5"/>
  <c r="E6" i="5"/>
  <c r="M31" i="5"/>
  <c r="M31" i="4"/>
  <c r="M30" i="4"/>
  <c r="M19" i="3"/>
  <c r="M18" i="3"/>
  <c r="H24" i="2"/>
  <c r="H16" i="2"/>
  <c r="H18" i="2"/>
  <c r="H23" i="2"/>
  <c r="H25" i="2"/>
  <c r="H33" i="2"/>
  <c r="M31" i="2"/>
  <c r="M32" i="2"/>
  <c r="J11" i="26"/>
  <c r="I13" i="26"/>
  <c r="I12" i="26"/>
  <c r="I10" i="26"/>
  <c r="I9" i="26"/>
  <c r="I8" i="26"/>
  <c r="I7" i="26"/>
  <c r="I6" i="26"/>
  <c r="I5" i="26"/>
  <c r="H13" i="26"/>
  <c r="H12" i="26"/>
  <c r="H8" i="26"/>
  <c r="H5" i="26"/>
  <c r="G13" i="26"/>
  <c r="G12" i="26"/>
  <c r="G7" i="26"/>
  <c r="G6" i="26"/>
  <c r="G5" i="26"/>
  <c r="F14" i="26"/>
  <c r="F13" i="26"/>
  <c r="F12" i="26"/>
  <c r="F8" i="26"/>
  <c r="F7" i="26"/>
  <c r="F5" i="26"/>
  <c r="C32" i="26"/>
  <c r="C23" i="26"/>
  <c r="C22" i="26"/>
  <c r="C21" i="26"/>
  <c r="C20" i="26"/>
  <c r="C19" i="26"/>
  <c r="C16" i="26"/>
  <c r="C15" i="26"/>
  <c r="C13" i="26"/>
  <c r="C12" i="26"/>
  <c r="C11" i="26"/>
  <c r="C8" i="26"/>
  <c r="C6" i="26"/>
  <c r="C5" i="26"/>
  <c r="G15" i="26"/>
  <c r="G37" i="26"/>
  <c r="I5" i="27"/>
  <c r="J5" i="27"/>
  <c r="K5" i="27"/>
  <c r="J37" i="26"/>
  <c r="L5" i="27"/>
  <c r="G38" i="26"/>
  <c r="I6" i="27"/>
  <c r="H38" i="26"/>
  <c r="J6" i="27"/>
  <c r="I38" i="26"/>
  <c r="K6" i="27"/>
  <c r="J38" i="26"/>
  <c r="L6" i="27"/>
  <c r="G30" i="26"/>
  <c r="G31" i="26"/>
  <c r="G39" i="26"/>
  <c r="I7" i="27"/>
  <c r="H30" i="26"/>
  <c r="H31" i="26"/>
  <c r="H39" i="26"/>
  <c r="J7" i="27"/>
  <c r="I30" i="26"/>
  <c r="I31" i="26"/>
  <c r="I39" i="26"/>
  <c r="K7" i="27"/>
  <c r="J30" i="26"/>
  <c r="J31" i="26"/>
  <c r="J39" i="26"/>
  <c r="L7" i="27"/>
  <c r="G40" i="26"/>
  <c r="I8" i="27"/>
  <c r="H40" i="26"/>
  <c r="J8" i="27"/>
  <c r="I40" i="26"/>
  <c r="K8" i="27"/>
  <c r="J40" i="26"/>
  <c r="L8" i="27"/>
  <c r="G20" i="26"/>
  <c r="G36" i="26"/>
  <c r="G41" i="26"/>
  <c r="I9" i="27"/>
  <c r="H21" i="26"/>
  <c r="H26" i="26"/>
  <c r="H36" i="26"/>
  <c r="H41" i="26"/>
  <c r="J9" i="27"/>
  <c r="I22" i="26"/>
  <c r="I27" i="26"/>
  <c r="I36" i="26"/>
  <c r="I41" i="26"/>
  <c r="K9" i="27"/>
  <c r="J36" i="26"/>
  <c r="J41" i="26"/>
  <c r="L9" i="27"/>
  <c r="L4" i="27"/>
  <c r="K4" i="27"/>
  <c r="J4" i="27"/>
  <c r="I4" i="27"/>
  <c r="F19" i="26"/>
  <c r="F25" i="26"/>
  <c r="F36" i="26"/>
  <c r="H4" i="27"/>
  <c r="H5" i="27"/>
  <c r="F38" i="26"/>
  <c r="H6" i="27"/>
  <c r="F30" i="26"/>
  <c r="F31" i="26"/>
  <c r="F39" i="26"/>
  <c r="H7" i="27"/>
  <c r="F40" i="26"/>
  <c r="H8" i="27"/>
  <c r="F41" i="26"/>
  <c r="H9" i="27"/>
  <c r="H6" i="5"/>
  <c r="H8" i="5"/>
  <c r="H38" i="5"/>
  <c r="E9" i="3"/>
  <c r="H9" i="3"/>
  <c r="E13" i="3"/>
  <c r="H13" i="3"/>
  <c r="E14" i="3"/>
  <c r="H14" i="3"/>
  <c r="E15" i="3"/>
  <c r="H15" i="3"/>
  <c r="E16" i="3"/>
  <c r="H16" i="3"/>
  <c r="E17" i="3"/>
  <c r="H17" i="3"/>
  <c r="H18" i="3"/>
  <c r="E26" i="3"/>
  <c r="H26" i="3"/>
  <c r="E13" i="2"/>
  <c r="H13" i="2"/>
  <c r="E12" i="2"/>
  <c r="H12" i="2"/>
  <c r="E14" i="2"/>
  <c r="H14" i="2"/>
  <c r="E15" i="2"/>
  <c r="H15" i="2"/>
  <c r="E17" i="2"/>
  <c r="H17" i="2"/>
  <c r="E14" i="6"/>
  <c r="H14" i="6"/>
  <c r="H15" i="6"/>
  <c r="E9" i="6"/>
  <c r="H9" i="6"/>
  <c r="E21" i="6"/>
  <c r="H21" i="6"/>
  <c r="E22" i="6"/>
  <c r="H22" i="6"/>
  <c r="H23" i="6"/>
  <c r="E6" i="4"/>
  <c r="H6" i="4"/>
  <c r="E7" i="4"/>
  <c r="H7" i="4"/>
  <c r="E8" i="4"/>
  <c r="H8" i="4"/>
  <c r="H9" i="4"/>
  <c r="E13" i="4"/>
  <c r="H13" i="4"/>
  <c r="E14" i="4"/>
  <c r="H14" i="4"/>
  <c r="E15" i="4"/>
  <c r="H15" i="4"/>
  <c r="E16" i="4"/>
  <c r="H16" i="4"/>
  <c r="H17" i="4"/>
  <c r="E22" i="4"/>
  <c r="H22" i="4"/>
  <c r="E23" i="4"/>
  <c r="H23" i="4"/>
  <c r="H24" i="4"/>
  <c r="M23" i="4"/>
  <c r="M25" i="4"/>
  <c r="M27" i="4"/>
  <c r="H27" i="4"/>
  <c r="M8" i="4"/>
  <c r="H28" i="4"/>
  <c r="M15" i="4"/>
  <c r="H29" i="4"/>
  <c r="H30" i="4"/>
  <c r="H32" i="4"/>
  <c r="H34" i="4"/>
  <c r="F26" i="15"/>
  <c r="P19" i="12"/>
  <c r="E26" i="15"/>
  <c r="O19" i="12"/>
  <c r="D26" i="15"/>
  <c r="N19" i="12"/>
  <c r="B26" i="15"/>
  <c r="L19" i="12"/>
  <c r="M7" i="6"/>
  <c r="M9" i="6"/>
  <c r="M11" i="6"/>
  <c r="H26" i="6"/>
  <c r="H27" i="6"/>
  <c r="H29" i="6"/>
  <c r="E6" i="6"/>
  <c r="H6" i="6"/>
  <c r="H31" i="6"/>
  <c r="F24" i="15"/>
  <c r="P17" i="12"/>
  <c r="E24" i="15"/>
  <c r="O17" i="12"/>
  <c r="D24" i="15"/>
  <c r="N17" i="12"/>
  <c r="E23" i="2"/>
  <c r="M24" i="2"/>
  <c r="M26" i="2"/>
  <c r="M28" i="2"/>
  <c r="H28" i="2"/>
  <c r="M8" i="2"/>
  <c r="H29" i="2"/>
  <c r="M15" i="2"/>
  <c r="H30" i="2"/>
  <c r="H31" i="2"/>
  <c r="E6" i="2"/>
  <c r="H6" i="2"/>
  <c r="E7" i="2"/>
  <c r="H7" i="2"/>
  <c r="H8" i="2"/>
  <c r="H35" i="2"/>
  <c r="B24" i="15"/>
  <c r="L17" i="12"/>
  <c r="F21" i="15"/>
  <c r="P13" i="12"/>
  <c r="E21" i="15"/>
  <c r="O13" i="12"/>
  <c r="D21" i="15"/>
  <c r="N13" i="12"/>
  <c r="B21" i="15"/>
  <c r="L13" i="12"/>
  <c r="F7" i="15"/>
  <c r="P10" i="12"/>
  <c r="E7" i="15"/>
  <c r="O10" i="12"/>
  <c r="D7" i="15"/>
  <c r="N10" i="12"/>
  <c r="B7" i="15"/>
  <c r="L10" i="12"/>
  <c r="F6" i="15"/>
  <c r="F17" i="15"/>
  <c r="P8" i="12"/>
  <c r="E6" i="15"/>
  <c r="E17" i="15"/>
  <c r="O8" i="12"/>
  <c r="D6" i="15"/>
  <c r="D17" i="15"/>
  <c r="N8" i="12"/>
  <c r="M6" i="3"/>
  <c r="M8" i="3"/>
  <c r="M10" i="3"/>
  <c r="M12" i="3"/>
  <c r="C6" i="15"/>
  <c r="C17" i="15"/>
  <c r="M8" i="12"/>
  <c r="B6" i="15"/>
  <c r="B17" i="15"/>
  <c r="L8" i="12"/>
  <c r="B2" i="15"/>
  <c r="F10" i="15"/>
  <c r="B3" i="15"/>
  <c r="F11" i="15"/>
  <c r="F14" i="15"/>
  <c r="F15" i="15"/>
  <c r="F19" i="15"/>
  <c r="P12" i="12"/>
  <c r="C10" i="15"/>
  <c r="C7" i="15"/>
  <c r="C11" i="15"/>
  <c r="C14" i="15"/>
  <c r="C15" i="15"/>
  <c r="E27" i="3"/>
  <c r="H27" i="3"/>
  <c r="H28" i="3"/>
  <c r="M14" i="3"/>
  <c r="H31" i="3"/>
  <c r="H33" i="3"/>
  <c r="C19" i="15"/>
  <c r="M12" i="12"/>
  <c r="D11" i="15"/>
  <c r="D10" i="15"/>
  <c r="D14" i="15"/>
  <c r="D15" i="15"/>
  <c r="E11" i="15"/>
  <c r="E10" i="15"/>
  <c r="E14" i="15"/>
  <c r="E15" i="15"/>
  <c r="B11" i="15"/>
  <c r="B10" i="15"/>
  <c r="B14" i="15"/>
  <c r="B15" i="15"/>
  <c r="C21" i="15"/>
  <c r="F20" i="15"/>
  <c r="P11" i="12"/>
  <c r="C20" i="15"/>
  <c r="M11" i="12"/>
  <c r="B14" i="18"/>
  <c r="D8" i="18"/>
  <c r="C4" i="18"/>
  <c r="D4" i="18"/>
  <c r="D5" i="18"/>
  <c r="E5" i="18"/>
  <c r="F5" i="18"/>
  <c r="G5" i="18"/>
  <c r="C26" i="15"/>
  <c r="M19" i="12"/>
  <c r="C25" i="15"/>
  <c r="M18" i="12"/>
  <c r="D25" i="15"/>
  <c r="N18" i="12"/>
  <c r="E25" i="15"/>
  <c r="O18" i="12"/>
  <c r="F25" i="15"/>
  <c r="P18" i="12"/>
  <c r="B25" i="15"/>
  <c r="L18" i="12"/>
  <c r="E6" i="3"/>
  <c r="H6" i="3"/>
  <c r="H35" i="3"/>
  <c r="C24" i="15"/>
  <c r="M17" i="12"/>
  <c r="C23" i="15"/>
  <c r="M16" i="12"/>
  <c r="D23" i="15"/>
  <c r="N16" i="12"/>
  <c r="E23" i="15"/>
  <c r="O16" i="12"/>
  <c r="F23" i="15"/>
  <c r="P16" i="12"/>
  <c r="B23" i="15"/>
  <c r="L16" i="12"/>
  <c r="C22" i="15"/>
  <c r="M14" i="12"/>
  <c r="D22" i="15"/>
  <c r="N14" i="12"/>
  <c r="E22" i="15"/>
  <c r="O14" i="12"/>
  <c r="F22" i="15"/>
  <c r="P14" i="12"/>
  <c r="B22" i="15"/>
  <c r="L14" i="12"/>
  <c r="M13" i="12"/>
  <c r="D19" i="15"/>
  <c r="N11" i="12"/>
  <c r="E19" i="15"/>
  <c r="O11" i="12"/>
  <c r="B19" i="15"/>
  <c r="L11" i="12"/>
  <c r="C16" i="15"/>
  <c r="M7" i="12"/>
  <c r="D16" i="15"/>
  <c r="N7" i="12"/>
  <c r="E16" i="15"/>
  <c r="O7" i="12"/>
  <c r="F16" i="15"/>
  <c r="P7" i="12"/>
  <c r="B16" i="15"/>
  <c r="L7" i="12"/>
  <c r="C18" i="15"/>
  <c r="M9" i="12"/>
  <c r="D18" i="15"/>
  <c r="N9" i="12"/>
  <c r="E18" i="15"/>
  <c r="O9" i="12"/>
  <c r="F18" i="15"/>
  <c r="P9" i="12"/>
  <c r="B18" i="15"/>
  <c r="L9" i="12"/>
  <c r="M10" i="12"/>
  <c r="E8" i="7"/>
  <c r="E24" i="7"/>
  <c r="E26" i="7"/>
  <c r="L5" i="12"/>
  <c r="E6" i="10"/>
  <c r="E8" i="10"/>
  <c r="E10" i="10"/>
  <c r="E12" i="10"/>
  <c r="M5" i="12"/>
  <c r="E8" i="8"/>
  <c r="E23" i="8"/>
  <c r="E25" i="8"/>
  <c r="N5" i="12"/>
  <c r="E8" i="9"/>
  <c r="E23" i="9"/>
  <c r="E25" i="9"/>
  <c r="O5" i="12"/>
  <c r="E7" i="11"/>
  <c r="E9" i="11"/>
  <c r="P5" i="12"/>
  <c r="E11" i="11"/>
  <c r="E14" i="10"/>
  <c r="E15" i="9"/>
  <c r="E15" i="8"/>
  <c r="E28" i="7"/>
  <c r="E15" i="7"/>
  <c r="E27" i="9"/>
  <c r="E27" i="8"/>
</calcChain>
</file>

<file path=xl/sharedStrings.xml><?xml version="1.0" encoding="utf-8"?>
<sst xmlns="http://schemas.openxmlformats.org/spreadsheetml/2006/main" count="732" uniqueCount="269">
  <si>
    <t>Assumptions</t>
  </si>
  <si>
    <t>Pasture</t>
  </si>
  <si>
    <t>Corn</t>
  </si>
  <si>
    <t>Soybean Meal 48%</t>
  </si>
  <si>
    <t>Salt/Mineral</t>
  </si>
  <si>
    <t>Supplement/Mineral</t>
  </si>
  <si>
    <t>Grinding/Mixing</t>
  </si>
  <si>
    <t>Limestone</t>
  </si>
  <si>
    <t>Complete Grower</t>
  </si>
  <si>
    <t>Input</t>
  </si>
  <si>
    <t>Cost</t>
  </si>
  <si>
    <t>Pasture fert, misc</t>
  </si>
  <si>
    <t>Quantity</t>
  </si>
  <si>
    <t>Revenue</t>
  </si>
  <si>
    <t>lbs</t>
  </si>
  <si>
    <t>cwt</t>
  </si>
  <si>
    <t>Price</t>
  </si>
  <si>
    <t>Variable Costs</t>
  </si>
  <si>
    <t>Feed Costs</t>
  </si>
  <si>
    <t>acres</t>
  </si>
  <si>
    <t>Pasture fert, misc costs</t>
  </si>
  <si>
    <t>bu</t>
  </si>
  <si>
    <t>Salt &amp; mineral</t>
  </si>
  <si>
    <t>Hay</t>
  </si>
  <si>
    <t>tons</t>
  </si>
  <si>
    <t>Corn stalks</t>
  </si>
  <si>
    <t>Total Feed Costs</t>
  </si>
  <si>
    <t>Cash Flow</t>
  </si>
  <si>
    <t>Total Revenue</t>
  </si>
  <si>
    <t>Veterinary and health</t>
  </si>
  <si>
    <t>Machinery, equipment, fuel, and repairs</t>
  </si>
  <si>
    <t>Marketing and miscellaneous</t>
  </si>
  <si>
    <t xml:space="preserve">Interest on variable costs </t>
  </si>
  <si>
    <t>Labor</t>
  </si>
  <si>
    <t>Interest</t>
  </si>
  <si>
    <t>lb</t>
  </si>
  <si>
    <t>ton</t>
  </si>
  <si>
    <t>bag</t>
  </si>
  <si>
    <t>acre</t>
  </si>
  <si>
    <t>hour</t>
  </si>
  <si>
    <t>Sales</t>
  </si>
  <si>
    <t>Calf (500 lbs)</t>
  </si>
  <si>
    <t>Dairy steer (350 lbs)</t>
  </si>
  <si>
    <t>Poults</t>
  </si>
  <si>
    <t>bird</t>
  </si>
  <si>
    <t>Dairy Steer (700 lbs)</t>
  </si>
  <si>
    <t>Lamb (125 lbs)</t>
  </si>
  <si>
    <t>Turkey (15 lbs)</t>
  </si>
  <si>
    <t>months</t>
  </si>
  <si>
    <t>hours</t>
  </si>
  <si>
    <t xml:space="preserve">Pasture </t>
  </si>
  <si>
    <t>Total Variable Costs</t>
  </si>
  <si>
    <t>Fixed Costs</t>
  </si>
  <si>
    <t>Machinery, equipment, fences</t>
  </si>
  <si>
    <t>Interest, insurance on herd @10%</t>
  </si>
  <si>
    <t>Bull depreciation/replacement</t>
  </si>
  <si>
    <t>Total Fixed Costs</t>
  </si>
  <si>
    <t>Total of all costs</t>
  </si>
  <si>
    <t>Net Profit</t>
  </si>
  <si>
    <t>Beef Cow-Calf--One Cow Unit</t>
  </si>
  <si>
    <t>Note: A cow-calf unit is 1 cow, .2 bred heifer, 0.9 calf, and 0.04 bull. Calf crop weaned of 92% of cows in herd, 20% replacement and 2% death rate on replacement heifers and cows are assumed.</t>
  </si>
  <si>
    <t>Beef Cow-Calf--Investment</t>
  </si>
  <si>
    <t>Breeding herd investment per cow unit</t>
  </si>
  <si>
    <t>Beef cow</t>
  </si>
  <si>
    <t>Per cow unit</t>
  </si>
  <si>
    <t>Replacement heifer ($850 x 0.20 head/cow unit)</t>
  </si>
  <si>
    <t>Bull ($1,800 divided by 25 cows)</t>
  </si>
  <si>
    <t>Bull replacement cost per  cow unit</t>
  </si>
  <si>
    <t>Bull cost</t>
  </si>
  <si>
    <t>Cull value</t>
  </si>
  <si>
    <t>Number of cows per bull</t>
  </si>
  <si>
    <t>Number of years</t>
  </si>
  <si>
    <t>Replacement cost</t>
  </si>
  <si>
    <t>Utility tractor ($18,000 x 25% cow use)</t>
  </si>
  <si>
    <t>Hay moving equipment</t>
  </si>
  <si>
    <t>Handling facilities</t>
  </si>
  <si>
    <t>Fences ($94.00 per acre x 125 acres)</t>
  </si>
  <si>
    <t>Feeders and waterers</t>
  </si>
  <si>
    <t>Total</t>
  </si>
  <si>
    <t xml:space="preserve">Facilities and machinery investment </t>
  </si>
  <si>
    <t>(50 cow herd assumed, replacement cost)</t>
  </si>
  <si>
    <t>Dairy Steer</t>
  </si>
  <si>
    <t>Dairy Steer--One Steer</t>
  </si>
  <si>
    <t>Building use</t>
  </si>
  <si>
    <t>Miscellaneous</t>
  </si>
  <si>
    <t xml:space="preserve">Marketing </t>
  </si>
  <si>
    <t>Death Loss</t>
  </si>
  <si>
    <t>Animal Cost</t>
  </si>
  <si>
    <t>Wool</t>
  </si>
  <si>
    <t>Lambs (1.24 head/Ewe)</t>
  </si>
  <si>
    <t>Cull ewes (.15 head/Ewe)</t>
  </si>
  <si>
    <t>Cull Ewe</t>
  </si>
  <si>
    <t>Calf (0.72 head/cow)</t>
  </si>
  <si>
    <t>Cull cow (0.18 head/cow)</t>
  </si>
  <si>
    <t>Cull Cow</t>
  </si>
  <si>
    <t>Sheep--One Ewe Unit</t>
  </si>
  <si>
    <t>Ewe</t>
  </si>
  <si>
    <t>Per ewe unit</t>
  </si>
  <si>
    <t>Ram cost</t>
  </si>
  <si>
    <t>Number of ewes per ram</t>
  </si>
  <si>
    <t>(150 ewe flock assumed, replacement cost)</t>
  </si>
  <si>
    <t>Breeding herd investment per ewe unit</t>
  </si>
  <si>
    <t>Utility tractor ($18,000 x 25% sheep use)</t>
  </si>
  <si>
    <t>Fences ($100.00 per acre x 30 acres)</t>
  </si>
  <si>
    <t>Feed Storage</t>
  </si>
  <si>
    <t>Barns, pens, feeders, etc.</t>
  </si>
  <si>
    <t>Sheep--Investment</t>
  </si>
  <si>
    <t>Goat--One Doe Unit</t>
  </si>
  <si>
    <t>Kids (1.53 head/Doe)</t>
  </si>
  <si>
    <t>Cull does (.20 head/Doe)</t>
  </si>
  <si>
    <t>Cull Doe</t>
  </si>
  <si>
    <t>Buck depreciation/replacement</t>
  </si>
  <si>
    <t>Ram depreciation/replacement</t>
  </si>
  <si>
    <t>Interest, insurance on flock @10%</t>
  </si>
  <si>
    <t>Note: A ewe unit is 1 ewe, .2 replacement ewe, 1.6 lambs, and 0.04 ram. Death loss of 10% for lambs weaned and 5% for ewes and ewe lambs assumed.</t>
  </si>
  <si>
    <t>Soyben Meal 48%</t>
  </si>
  <si>
    <t>Breeding herd investment per doe unit</t>
  </si>
  <si>
    <t>Doe</t>
  </si>
  <si>
    <t>Replacement doe ($100 x 0.20 head/doe unit)</t>
  </si>
  <si>
    <t>Ram ($350.00 divided by 25 ewes)</t>
  </si>
  <si>
    <t>Replacement ewe lamb ($100 x 0.20 head/ewe unit)</t>
  </si>
  <si>
    <t>Per doe unit</t>
  </si>
  <si>
    <t>Buck replacement cost per  ewe unit</t>
  </si>
  <si>
    <t>Buck cost</t>
  </si>
  <si>
    <t>Number of does per buck</t>
  </si>
  <si>
    <t>(100 doe herd assumed, replacement cost)</t>
  </si>
  <si>
    <t>Utility tractor ($18,000 x 25% goat use)</t>
  </si>
  <si>
    <t>Ram replacement cost per  ewe unit</t>
  </si>
  <si>
    <t>Buck ($300.00 divided by 33 does)</t>
  </si>
  <si>
    <t>Goat--Investment</t>
  </si>
  <si>
    <t>Note: A doe unit is 1 doe, .2 replacement does, 1.53 kids, and 0.03 bucks. Death loss of 10% for kids.</t>
  </si>
  <si>
    <t>Hen (14 weeks)</t>
  </si>
  <si>
    <t>bags</t>
  </si>
  <si>
    <t>Buildings and equipment</t>
  </si>
  <si>
    <t>Utilities</t>
  </si>
  <si>
    <t>Animal Costs</t>
  </si>
  <si>
    <t xml:space="preserve">Turkey--One Hen </t>
  </si>
  <si>
    <t>(25 head assumed)</t>
  </si>
  <si>
    <t>Fences ($94.00 per acre x 12.5 acres)</t>
  </si>
  <si>
    <t>Utility tractor ($18,000 x 10% steer use)</t>
  </si>
  <si>
    <t>Per steer</t>
  </si>
  <si>
    <t>Per bird</t>
  </si>
  <si>
    <t>Turkey--Investment</t>
  </si>
  <si>
    <t>Facilities and machinery investment (3,000 birds/3 groups)</t>
  </si>
  <si>
    <t>Building (40' x 100')</t>
  </si>
  <si>
    <t>lambs</t>
  </si>
  <si>
    <t>http://4hansci.osu.edu/livestock/documents/AGuidetoFeedingLambs_Kuber_Osborne_Dec09.pdf</t>
  </si>
  <si>
    <t>Goat</t>
  </si>
  <si>
    <t>Average Daily Gain</t>
  </si>
  <si>
    <t>.3 lbs/day</t>
  </si>
  <si>
    <t>http://www.extension.umn.edu/meatgoats/components/pdfs/producerworkshop06/DougThompson.pdf</t>
  </si>
  <si>
    <t>cow calf 6months from birth to 500 lbs sale weight</t>
  </si>
  <si>
    <t>How much money are you willing to invest upfront in this enterprise?</t>
  </si>
  <si>
    <t>Criteria</t>
  </si>
  <si>
    <t>Livestock Enterprise</t>
  </si>
  <si>
    <t>Cow-Calf</t>
  </si>
  <si>
    <t>Sheep</t>
  </si>
  <si>
    <t>Turkey</t>
  </si>
  <si>
    <t>Acreage</t>
  </si>
  <si>
    <t>Permanent Structure</t>
  </si>
  <si>
    <t>-</t>
  </si>
  <si>
    <t>o</t>
  </si>
  <si>
    <t>+</t>
  </si>
  <si>
    <t>Not important</t>
  </si>
  <si>
    <t>Operating Expenses</t>
  </si>
  <si>
    <t>Feed Cost as a % of Operating Expenses</t>
  </si>
  <si>
    <t>Labor Intensity</t>
  </si>
  <si>
    <t>Low</t>
  </si>
  <si>
    <t>Medium</t>
  </si>
  <si>
    <t>High</t>
  </si>
  <si>
    <t>2-3 times/week</t>
  </si>
  <si>
    <t>Almost everyday</t>
  </si>
  <si>
    <t xml:space="preserve">Everyday </t>
  </si>
  <si>
    <t>180 days/ $1,082 breeding stock</t>
  </si>
  <si>
    <t>150 days/ $0 breeding stock</t>
  </si>
  <si>
    <t>160 days/ $159 breeding stock</t>
  </si>
  <si>
    <t>98 days/ $0 breeding stock</t>
  </si>
  <si>
    <t>Sometimes Important</t>
  </si>
  <si>
    <t>Important</t>
  </si>
  <si>
    <t>Investment</t>
  </si>
  <si>
    <t>Dairy Steer--Investment</t>
  </si>
  <si>
    <t>Depreciation, interest, taxes, insurance @ 14% annually</t>
  </si>
  <si>
    <t>Investment/head</t>
  </si>
  <si>
    <t>Acreage/head</t>
  </si>
  <si>
    <t>User Input</t>
  </si>
  <si>
    <t>Number of unit capacity</t>
  </si>
  <si>
    <t>Max # Number of Units</t>
  </si>
  <si>
    <t xml:space="preserve"> </t>
  </si>
  <si>
    <t>Acreage Used</t>
  </si>
  <si>
    <t>Initial Investment Needed</t>
  </si>
  <si>
    <t>Estimated Profitability</t>
  </si>
  <si>
    <t>Total Labor Hours</t>
  </si>
  <si>
    <t>252 days/ $154 breeding stock</t>
  </si>
  <si>
    <t>Upper Bound</t>
  </si>
  <si>
    <t>Facilities and equipment</t>
  </si>
  <si>
    <t>Initial investment needed</t>
  </si>
  <si>
    <t>Operating expenses</t>
  </si>
  <si>
    <t>feed cost as a % of operating expenses</t>
  </si>
  <si>
    <t>estimated profitability</t>
  </si>
  <si>
    <t>total labor hours</t>
  </si>
  <si>
    <t>Initial investment needed/head</t>
  </si>
  <si>
    <t>Operating expenses/head</t>
  </si>
  <si>
    <t>Operating expenses 2nd year</t>
  </si>
  <si>
    <t>estimated profitability/head</t>
  </si>
  <si>
    <t>Labor hours/head</t>
  </si>
  <si>
    <t>Please answer the following questions to generate your individual Comprehensive Decision Support Matrix.</t>
  </si>
  <si>
    <t>How many acres are you willing to devote to this enterprise?</t>
  </si>
  <si>
    <t>Goat (80 lbs)</t>
  </si>
  <si>
    <t>Notes &amp; Definitions</t>
  </si>
  <si>
    <t>Maximum Number of Head</t>
  </si>
  <si>
    <t>Ease of Entry/Exit</t>
  </si>
  <si>
    <t>Comparative Decision Support Matrix</t>
  </si>
  <si>
    <t xml:space="preserve">Maximum number of head: </t>
  </si>
  <si>
    <t>Acreage used:</t>
  </si>
  <si>
    <t>Operating expenses:</t>
  </si>
  <si>
    <t>Total labor hours:</t>
  </si>
  <si>
    <t xml:space="preserve">The number of head that you could support based on your answers to the questions about investment and acres. </t>
  </si>
  <si>
    <t>Initial investment needed:</t>
  </si>
  <si>
    <t>Estimated profitability:</t>
  </si>
  <si>
    <t>Note: Dairy Steer and Turkey operating expenses are broken into two parts. The cost of feeder livestock for the first year is included in the initial investment. This reduces the operating expense for year 1 by the amount of the feeder livestock price.</t>
  </si>
  <si>
    <t>Feed cost as a % of OE:</t>
  </si>
  <si>
    <t>Permanent structure:</t>
  </si>
  <si>
    <t>Labor intensity:</t>
  </si>
  <si>
    <t>Ease of entry/exit:</t>
  </si>
  <si>
    <t>Livestock Market Access</t>
  </si>
  <si>
    <r>
      <t xml:space="preserve">Investment required for an enterprise with the </t>
    </r>
    <r>
      <rPr>
        <i/>
        <sz val="12"/>
        <color theme="1"/>
        <rFont val="Calibri"/>
        <family val="2"/>
        <scheme val="minor"/>
      </rPr>
      <t>maximum number of head</t>
    </r>
    <r>
      <rPr>
        <sz val="12"/>
        <color theme="1"/>
        <rFont val="Calibri"/>
        <family val="2"/>
        <charset val="128"/>
        <scheme val="minor"/>
      </rPr>
      <t xml:space="preserve"> listed above.</t>
    </r>
  </si>
  <si>
    <t>Acreage required for an enterprise with the maximum number of head listed above.</t>
  </si>
  <si>
    <t>Estimated operating expenses per production cycle for this size enterprise.</t>
  </si>
  <si>
    <t>Estimated profit for an enterprise of this size according to enterprise budgets.</t>
  </si>
  <si>
    <t>Estimated labor hours for an enterprise of this size. See labor intensity for frequency as this estimate can change based on the size of the enterprise.</t>
  </si>
  <si>
    <t>Percentage of operating expenses allocated to feed,a volatile input.</t>
  </si>
  <si>
    <t xml:space="preserve">Identifies the need for a structure to operate the enterprise. </t>
  </si>
  <si>
    <t xml:space="preserve">Reflects the frequency of labor. Even with few labor hours, care must be constant. </t>
  </si>
  <si>
    <t xml:space="preserve">Reflects combination of days from birth/purchase to market and investment in breeding stock. </t>
  </si>
  <si>
    <t>Note: High-most difficult exit; Medium-less investment in breeding stock, higher number of days on feed; Low-no investment in breeding stock, easiest to feed seasonally .</t>
  </si>
  <si>
    <t>Market access:</t>
  </si>
  <si>
    <t>Niche/Urban Market Access</t>
  </si>
  <si>
    <t xml:space="preserve">Importance of access to type of market. </t>
  </si>
  <si>
    <t>Quantities</t>
  </si>
  <si>
    <t>Other variable costs</t>
  </si>
  <si>
    <t>Fixed costs</t>
  </si>
  <si>
    <t>Feeder Animal Costs</t>
  </si>
  <si>
    <t>Number of Units</t>
  </si>
  <si>
    <t>1. Define the number of units in each enterprise:</t>
  </si>
  <si>
    <t>Enterprise:</t>
  </si>
  <si>
    <t>2. Enter your estimated cost for the following feed inputs:</t>
  </si>
  <si>
    <t>Unit</t>
  </si>
  <si>
    <t>Pasture Care</t>
  </si>
  <si>
    <t>Turkey Complete Grower</t>
  </si>
  <si>
    <t>3. Enter your estimated price for the following livestock:</t>
  </si>
  <si>
    <t>Livestock</t>
  </si>
  <si>
    <t>50 lb bag</t>
  </si>
  <si>
    <t>Your Estimated Profit/Loss</t>
  </si>
  <si>
    <t>4. What is the monetary value of your time:</t>
  </si>
  <si>
    <t>Value</t>
  </si>
  <si>
    <t>Hour</t>
  </si>
  <si>
    <t>Use this page to try out different price scenarios and their impact on the profitability of the enterprise. The following information may be useful for price estimates in steps 2 and 3.</t>
  </si>
  <si>
    <t>Dairy Steer (350 lbs)</t>
  </si>
  <si>
    <t>Note: This information is nationally reported data for the years 2007-2011. Look into your local markets to get a more accurate  estimate. Also, if you are looking into niche marketing, recall that the production practices may not follow the budgets used to generate this P/L report.</t>
  </si>
  <si>
    <t>Minimum</t>
  </si>
  <si>
    <t>Average</t>
  </si>
  <si>
    <t>Maximum</t>
  </si>
  <si>
    <t xml:space="preserve">Assumption </t>
  </si>
  <si>
    <t>Buck replacement cost per doe unit</t>
  </si>
  <si>
    <t>Breakeven Price</t>
  </si>
  <si>
    <t>Required Premium</t>
  </si>
  <si>
    <t>Breakeven price</t>
  </si>
  <si>
    <t>Required premium</t>
  </si>
  <si>
    <t>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</si>
</sst>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quot;$&quot;#,##0.00"/>
  </numFmts>
  <fonts count="21" x14ac:knownFonts="1">
    <font>
      <sz val="11"/>
      <color theme="1"/>
      <name val="Calibri"/>
      <family val="2"/>
      <scheme val="minor"/>
    </font>
    <font>
      <sz val="12"/>
      <color theme="1"/>
      <name val="Calibri"/>
      <family val="2"/>
      <charset val="128"/>
      <scheme val="minor"/>
    </font>
    <font>
      <sz val="12"/>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b/>
      <sz val="20"/>
      <color theme="1"/>
      <name val="Calibri"/>
      <family val="2"/>
      <scheme val="minor"/>
    </font>
    <font>
      <u/>
      <sz val="11"/>
      <color theme="10"/>
      <name val="Calibri"/>
      <family val="2"/>
      <scheme val="minor"/>
    </font>
    <font>
      <u/>
      <sz val="11"/>
      <color theme="11"/>
      <name val="Calibri"/>
      <family val="2"/>
      <scheme val="minor"/>
    </font>
    <font>
      <b/>
      <sz val="20"/>
      <color theme="0"/>
      <name val="Calibri"/>
      <family val="2"/>
      <scheme val="minor"/>
    </font>
    <font>
      <b/>
      <sz val="16"/>
      <color theme="0"/>
      <name val="Calibri"/>
      <family val="2"/>
      <scheme val="minor"/>
    </font>
    <font>
      <sz val="12"/>
      <color theme="1"/>
      <name val="Calibri"/>
      <family val="2"/>
      <scheme val="minor"/>
    </font>
    <font>
      <i/>
      <sz val="12"/>
      <color theme="1"/>
      <name val="Calibri"/>
      <family val="2"/>
      <scheme val="minor"/>
    </font>
    <font>
      <b/>
      <sz val="18"/>
      <color theme="0"/>
      <name val="Calibri"/>
      <family val="2"/>
      <scheme val="minor"/>
    </font>
    <font>
      <sz val="11"/>
      <color theme="0"/>
      <name val="Calibri"/>
      <family val="2"/>
      <scheme val="minor"/>
    </font>
    <font>
      <b/>
      <sz val="14"/>
      <color theme="0"/>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2" tint="-0.89999084444715716"/>
        <bgColor indexed="64"/>
      </patternFill>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s>
  <borders count="59">
    <border>
      <left/>
      <right/>
      <top/>
      <bottom/>
      <diagonal/>
    </border>
    <border>
      <left/>
      <right/>
      <top/>
      <bottom style="thin">
        <color auto="1"/>
      </bottom>
      <diagonal/>
    </border>
    <border>
      <left/>
      <right/>
      <top style="thin">
        <color auto="1"/>
      </top>
      <bottom style="double">
        <color auto="1"/>
      </bottom>
      <diagonal/>
    </border>
    <border>
      <left style="thick">
        <color auto="1"/>
      </left>
      <right/>
      <top/>
      <bottom/>
      <diagonal/>
    </border>
    <border>
      <left/>
      <right style="thick">
        <color auto="1"/>
      </right>
      <top/>
      <bottom/>
      <diagonal/>
    </border>
    <border>
      <left style="thick">
        <color auto="1"/>
      </left>
      <right/>
      <top/>
      <bottom style="thin">
        <color auto="1"/>
      </bottom>
      <diagonal/>
    </border>
    <border>
      <left/>
      <right style="thick">
        <color auto="1"/>
      </right>
      <top/>
      <bottom style="thin">
        <color auto="1"/>
      </bottom>
      <diagonal/>
    </border>
    <border>
      <left style="thick">
        <color auto="1"/>
      </left>
      <right/>
      <top style="thin">
        <color auto="1"/>
      </top>
      <bottom style="double">
        <color auto="1"/>
      </bottom>
      <diagonal/>
    </border>
    <border>
      <left/>
      <right style="thick">
        <color auto="1"/>
      </right>
      <top style="thin">
        <color auto="1"/>
      </top>
      <bottom style="double">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style="double">
        <color auto="1"/>
      </bottom>
      <diagonal/>
    </border>
    <border>
      <left/>
      <right/>
      <top/>
      <bottom style="double">
        <color auto="1"/>
      </bottom>
      <diagonal/>
    </border>
    <border>
      <left/>
      <right style="thick">
        <color auto="1"/>
      </right>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right style="medium">
        <color auto="1"/>
      </right>
      <top/>
      <bottom/>
      <diagonal/>
    </border>
    <border>
      <left style="thin">
        <color auto="1"/>
      </left>
      <right style="medium">
        <color auto="1"/>
      </right>
      <top/>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diagonal/>
    </border>
    <border>
      <left/>
      <right/>
      <top style="medium">
        <color auto="1"/>
      </top>
      <bottom/>
      <diagonal/>
    </border>
    <border>
      <left/>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right style="medium">
        <color auto="1"/>
      </right>
      <top/>
      <bottom style="double">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medium">
        <color auto="1"/>
      </right>
      <top/>
      <bottom style="thin">
        <color auto="1"/>
      </bottom>
      <diagonal/>
    </border>
  </borders>
  <cellStyleXfs count="54">
    <xf numFmtId="0" fontId="0" fillId="0" borderId="0"/>
    <xf numFmtId="44" fontId="3" fillId="0" borderId="0" applyFont="0" applyFill="0" applyBorder="0" applyAlignment="0" applyProtection="0"/>
    <xf numFmtId="0" fontId="4" fillId="2" borderId="0" applyNumberFormat="0" applyBorder="0" applyAlignment="0" applyProtection="0"/>
    <xf numFmtId="9" fontId="3"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38">
    <xf numFmtId="0" fontId="0" fillId="0" borderId="0" xfId="0"/>
    <xf numFmtId="0" fontId="0" fillId="0" borderId="0" xfId="0" applyFill="1"/>
    <xf numFmtId="0" fontId="0" fillId="3" borderId="1" xfId="0" applyFill="1" applyBorder="1"/>
    <xf numFmtId="44" fontId="0" fillId="3" borderId="1" xfId="1" applyFont="1" applyFill="1" applyBorder="1"/>
    <xf numFmtId="0" fontId="0" fillId="3" borderId="2" xfId="0" applyFill="1" applyBorder="1"/>
    <xf numFmtId="0" fontId="0" fillId="3" borderId="3" xfId="0" applyFill="1" applyBorder="1"/>
    <xf numFmtId="0" fontId="0" fillId="3" borderId="0" xfId="0" applyFill="1" applyBorder="1"/>
    <xf numFmtId="0" fontId="0" fillId="3" borderId="4" xfId="0" applyFill="1" applyBorder="1"/>
    <xf numFmtId="0" fontId="5" fillId="3" borderId="3" xfId="0" applyFont="1" applyFill="1" applyBorder="1"/>
    <xf numFmtId="0" fontId="0" fillId="3" borderId="5" xfId="0" applyFill="1" applyBorder="1"/>
    <xf numFmtId="44" fontId="6" fillId="3" borderId="6" xfId="1" applyFont="1" applyFill="1" applyBorder="1"/>
    <xf numFmtId="44" fontId="6" fillId="3" borderId="4" xfId="1" applyFont="1" applyFill="1" applyBorder="1"/>
    <xf numFmtId="0" fontId="6" fillId="3" borderId="4" xfId="0" applyFont="1" applyFill="1" applyBorder="1"/>
    <xf numFmtId="0" fontId="0" fillId="3" borderId="3" xfId="0" applyFont="1" applyFill="1" applyBorder="1"/>
    <xf numFmtId="44" fontId="0" fillId="3" borderId="0" xfId="1" applyFont="1" applyFill="1" applyBorder="1"/>
    <xf numFmtId="44" fontId="6" fillId="3" borderId="4" xfId="2" applyNumberFormat="1" applyFont="1" applyFill="1" applyBorder="1"/>
    <xf numFmtId="44" fontId="6" fillId="3" borderId="6" xfId="2" applyNumberFormat="1" applyFont="1" applyFill="1" applyBorder="1"/>
    <xf numFmtId="0" fontId="5" fillId="3" borderId="7" xfId="0" applyFont="1" applyFill="1" applyBorder="1"/>
    <xf numFmtId="44" fontId="6" fillId="3" borderId="8" xfId="2" applyNumberFormat="1" applyFont="1" applyFill="1" applyBorder="1"/>
    <xf numFmtId="44" fontId="5" fillId="3" borderId="4" xfId="0" applyNumberFormat="1" applyFont="1" applyFill="1" applyBorder="1"/>
    <xf numFmtId="0" fontId="0" fillId="3" borderId="16" xfId="0" applyFill="1" applyBorder="1"/>
    <xf numFmtId="44" fontId="6" fillId="3" borderId="17" xfId="2" applyNumberFormat="1" applyFont="1" applyFill="1" applyBorder="1"/>
    <xf numFmtId="0" fontId="0" fillId="3" borderId="5" xfId="0" applyFont="1" applyFill="1" applyBorder="1"/>
    <xf numFmtId="0" fontId="0" fillId="3" borderId="4" xfId="0" applyFill="1" applyBorder="1" applyAlignment="1">
      <alignment horizontal="center"/>
    </xf>
    <xf numFmtId="44" fontId="0" fillId="3" borderId="4" xfId="1" applyFont="1" applyFill="1" applyBorder="1"/>
    <xf numFmtId="44" fontId="0" fillId="3" borderId="6" xfId="1" applyFont="1" applyFill="1" applyBorder="1"/>
    <xf numFmtId="44" fontId="0" fillId="3" borderId="4" xfId="0" applyNumberFormat="1" applyFill="1" applyBorder="1"/>
    <xf numFmtId="0" fontId="0" fillId="3" borderId="4" xfId="1" applyNumberFormat="1" applyFont="1" applyFill="1" applyBorder="1"/>
    <xf numFmtId="0" fontId="0" fillId="3" borderId="6" xfId="1" applyNumberFormat="1" applyFont="1" applyFill="1" applyBorder="1"/>
    <xf numFmtId="44" fontId="6" fillId="3" borderId="4" xfId="0" applyNumberFormat="1" applyFont="1" applyFill="1" applyBorder="1"/>
    <xf numFmtId="0" fontId="0" fillId="3" borderId="15" xfId="0" applyFill="1" applyBorder="1"/>
    <xf numFmtId="0" fontId="0" fillId="3" borderId="9" xfId="0" applyFill="1" applyBorder="1"/>
    <xf numFmtId="0" fontId="0" fillId="3" borderId="10" xfId="0" applyFill="1" applyBorder="1"/>
    <xf numFmtId="0" fontId="0" fillId="3" borderId="11" xfId="0" applyFill="1" applyBorder="1"/>
    <xf numFmtId="9" fontId="0" fillId="3" borderId="0" xfId="3" applyFont="1" applyFill="1" applyBorder="1"/>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1" fillId="5" borderId="31" xfId="0" applyFont="1" applyFill="1" applyBorder="1" applyAlignment="1">
      <alignment horizontal="center" vertical="center"/>
    </xf>
    <xf numFmtId="0" fontId="0" fillId="5" borderId="30" xfId="0" applyFill="1" applyBorder="1" applyAlignment="1">
      <alignment horizontal="center" vertical="center" wrapText="1"/>
    </xf>
    <xf numFmtId="0" fontId="0" fillId="5" borderId="31" xfId="0" applyFill="1" applyBorder="1" applyAlignment="1">
      <alignment horizontal="center" vertical="center" wrapText="1"/>
    </xf>
    <xf numFmtId="8" fontId="0" fillId="3" borderId="30" xfId="0" applyNumberFormat="1" applyFill="1" applyBorder="1" applyAlignment="1">
      <alignment horizontal="center" vertical="center"/>
    </xf>
    <xf numFmtId="8" fontId="0" fillId="3" borderId="32" xfId="0" applyNumberFormat="1" applyFill="1" applyBorder="1" applyAlignment="1">
      <alignment horizontal="center" vertical="center"/>
    </xf>
    <xf numFmtId="0" fontId="0" fillId="3" borderId="30" xfId="0" applyFont="1" applyFill="1" applyBorder="1" applyAlignment="1">
      <alignment horizontal="center" vertical="center" wrapText="1"/>
    </xf>
    <xf numFmtId="0" fontId="0" fillId="3" borderId="30"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5" xfId="0" applyFill="1" applyBorder="1" applyAlignment="1">
      <alignment horizontal="center" vertical="center" wrapText="1"/>
    </xf>
    <xf numFmtId="0" fontId="0" fillId="3" borderId="36" xfId="0" applyFill="1" applyBorder="1" applyAlignment="1">
      <alignment horizontal="center" vertical="center" wrapText="1"/>
    </xf>
    <xf numFmtId="0" fontId="9" fillId="0" borderId="0" xfId="0" applyFont="1"/>
    <xf numFmtId="44" fontId="0" fillId="0" borderId="0" xfId="0" applyNumberFormat="1"/>
    <xf numFmtId="1" fontId="0" fillId="0" borderId="0" xfId="1" applyNumberFormat="1" applyFont="1"/>
    <xf numFmtId="1" fontId="0" fillId="0" borderId="0" xfId="0" applyNumberFormat="1"/>
    <xf numFmtId="0" fontId="11" fillId="5" borderId="30" xfId="0" applyFont="1" applyFill="1" applyBorder="1" applyAlignment="1">
      <alignment horizontal="center" vertical="center"/>
    </xf>
    <xf numFmtId="44" fontId="11" fillId="3" borderId="30" xfId="1" applyFont="1" applyFill="1" applyBorder="1" applyAlignment="1">
      <alignment horizontal="center" vertical="center"/>
    </xf>
    <xf numFmtId="44" fontId="11" fillId="3" borderId="32" xfId="0" applyNumberFormat="1" applyFont="1" applyFill="1" applyBorder="1" applyAlignment="1">
      <alignment horizontal="center" vertical="center"/>
    </xf>
    <xf numFmtId="44" fontId="11" fillId="3" borderId="30" xfId="0" applyNumberFormat="1"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1" fontId="11" fillId="5" borderId="32" xfId="0" applyNumberFormat="1" applyFont="1" applyFill="1" applyBorder="1" applyAlignment="1">
      <alignment horizontal="center" vertical="center"/>
    </xf>
    <xf numFmtId="1" fontId="11" fillId="5" borderId="30" xfId="0" applyNumberFormat="1" applyFont="1" applyFill="1" applyBorder="1" applyAlignment="1">
      <alignment horizontal="center" vertical="center"/>
    </xf>
    <xf numFmtId="0" fontId="5" fillId="0" borderId="0" xfId="0" applyFont="1"/>
    <xf numFmtId="0" fontId="9" fillId="0" borderId="0" xfId="0" applyFont="1" applyFill="1" applyBorder="1" applyAlignment="1">
      <alignment horizontal="center" vertical="center"/>
    </xf>
    <xf numFmtId="44" fontId="3" fillId="3" borderId="30" xfId="1" applyNumberFormat="1" applyFont="1" applyFill="1" applyBorder="1" applyAlignment="1">
      <alignment horizontal="center" vertical="center"/>
    </xf>
    <xf numFmtId="164" fontId="0" fillId="0" borderId="0" xfId="0" applyNumberFormat="1"/>
    <xf numFmtId="44" fontId="3" fillId="3" borderId="32" xfId="1" applyNumberFormat="1" applyFont="1" applyFill="1" applyBorder="1" applyAlignment="1">
      <alignment horizontal="center" vertical="center"/>
    </xf>
    <xf numFmtId="0" fontId="0" fillId="5" borderId="30" xfId="0" applyFont="1" applyFill="1" applyBorder="1" applyAlignment="1">
      <alignment horizontal="center" vertical="center"/>
    </xf>
    <xf numFmtId="9" fontId="0" fillId="0" borderId="0" xfId="3" applyFont="1"/>
    <xf numFmtId="44" fontId="0" fillId="0" borderId="0" xfId="1" applyFont="1"/>
    <xf numFmtId="0" fontId="0" fillId="5" borderId="30" xfId="0" applyNumberFormat="1" applyFill="1" applyBorder="1" applyAlignment="1">
      <alignment horizontal="center" vertical="center"/>
    </xf>
    <xf numFmtId="44" fontId="11" fillId="3" borderId="32" xfId="1" applyFont="1" applyFill="1" applyBorder="1" applyAlignment="1">
      <alignment horizontal="center" vertical="center"/>
    </xf>
    <xf numFmtId="0" fontId="11" fillId="5" borderId="32"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32" xfId="0" applyNumberFormat="1" applyFill="1" applyBorder="1" applyAlignment="1">
      <alignment horizontal="center" vertical="center"/>
    </xf>
    <xf numFmtId="0" fontId="8" fillId="3" borderId="28" xfId="0" applyFont="1" applyFill="1" applyBorder="1" applyAlignment="1">
      <alignment wrapText="1"/>
    </xf>
    <xf numFmtId="0" fontId="8" fillId="3" borderId="0" xfId="0" applyFont="1" applyFill="1" applyBorder="1" applyAlignment="1">
      <alignment wrapText="1"/>
    </xf>
    <xf numFmtId="0" fontId="8" fillId="3" borderId="31" xfId="0" applyFont="1" applyFill="1" applyBorder="1" applyAlignment="1">
      <alignment wrapText="1"/>
    </xf>
    <xf numFmtId="0" fontId="10" fillId="3" borderId="28" xfId="0" applyFont="1" applyFill="1" applyBorder="1"/>
    <xf numFmtId="0" fontId="0" fillId="3" borderId="31" xfId="0" applyFill="1" applyBorder="1"/>
    <xf numFmtId="0" fontId="0" fillId="3" borderId="28" xfId="0" applyFill="1" applyBorder="1"/>
    <xf numFmtId="0" fontId="0" fillId="3" borderId="34" xfId="0" applyFill="1" applyBorder="1"/>
    <xf numFmtId="0" fontId="0" fillId="3" borderId="43" xfId="0" applyFill="1" applyBorder="1"/>
    <xf numFmtId="0" fontId="0" fillId="3" borderId="36" xfId="0" applyFill="1" applyBorder="1"/>
    <xf numFmtId="44" fontId="7" fillId="3" borderId="30" xfId="0" applyNumberFormat="1" applyFont="1" applyFill="1" applyBorder="1" applyAlignment="1">
      <alignment horizontal="center" vertical="center"/>
    </xf>
    <xf numFmtId="44" fontId="7" fillId="3" borderId="32" xfId="0" applyNumberFormat="1" applyFont="1" applyFill="1" applyBorder="1" applyAlignment="1">
      <alignment horizontal="center" vertical="center"/>
    </xf>
    <xf numFmtId="0" fontId="2" fillId="0" borderId="0" xfId="27"/>
    <xf numFmtId="0" fontId="2" fillId="3" borderId="3" xfId="27" applyFill="1" applyBorder="1"/>
    <xf numFmtId="0" fontId="2" fillId="3" borderId="0" xfId="27" applyFill="1" applyBorder="1"/>
    <xf numFmtId="0" fontId="2" fillId="3" borderId="4" xfId="27" applyFill="1" applyBorder="1"/>
    <xf numFmtId="0" fontId="5" fillId="3" borderId="3" xfId="27" applyFont="1" applyFill="1" applyBorder="1"/>
    <xf numFmtId="44" fontId="0" fillId="3" borderId="0" xfId="28" applyFont="1" applyFill="1" applyBorder="1"/>
    <xf numFmtId="0" fontId="2" fillId="3" borderId="9" xfId="27" applyFill="1" applyBorder="1"/>
    <xf numFmtId="0" fontId="2" fillId="3" borderId="10" xfId="27" applyFill="1" applyBorder="1"/>
    <xf numFmtId="0" fontId="2" fillId="3" borderId="11" xfId="27" applyFill="1" applyBorder="1"/>
    <xf numFmtId="9" fontId="0" fillId="3" borderId="0" xfId="29" applyFont="1" applyFill="1" applyBorder="1"/>
    <xf numFmtId="44" fontId="2" fillId="0" borderId="0" xfId="27" applyNumberFormat="1"/>
    <xf numFmtId="0" fontId="8" fillId="3" borderId="28" xfId="0" applyFont="1" applyFill="1" applyBorder="1"/>
    <xf numFmtId="0" fontId="10" fillId="3" borderId="34" xfId="0" applyFont="1" applyFill="1" applyBorder="1"/>
    <xf numFmtId="0" fontId="10" fillId="3" borderId="0" xfId="0" applyFont="1" applyFill="1" applyBorder="1" applyAlignment="1">
      <alignment horizontal="right"/>
    </xf>
    <xf numFmtId="0" fontId="10" fillId="3" borderId="43" xfId="0" applyFont="1" applyFill="1" applyBorder="1" applyAlignment="1">
      <alignment horizontal="right"/>
    </xf>
    <xf numFmtId="0" fontId="8" fillId="3" borderId="0" xfId="0" applyFont="1" applyFill="1" applyBorder="1" applyAlignment="1">
      <alignment horizontal="center" vertical="center"/>
    </xf>
    <xf numFmtId="0" fontId="8" fillId="3" borderId="0" xfId="0" applyFont="1" applyFill="1" applyBorder="1" applyAlignment="1">
      <alignment horizontal="center"/>
    </xf>
    <xf numFmtId="0" fontId="10" fillId="3" borderId="0" xfId="27" applyFont="1" applyFill="1" applyBorder="1" applyAlignment="1">
      <alignment horizontal="right"/>
    </xf>
    <xf numFmtId="0" fontId="10" fillId="3" borderId="28" xfId="27" applyFont="1" applyFill="1" applyBorder="1"/>
    <xf numFmtId="0" fontId="8" fillId="3" borderId="43" xfId="0" applyFont="1" applyFill="1" applyBorder="1" applyAlignment="1">
      <alignment horizontal="center"/>
    </xf>
    <xf numFmtId="44" fontId="10" fillId="3" borderId="31" xfId="0" applyNumberFormat="1" applyFont="1" applyFill="1" applyBorder="1"/>
    <xf numFmtId="44" fontId="10" fillId="3" borderId="36" xfId="0" applyNumberFormat="1" applyFont="1" applyFill="1" applyBorder="1"/>
    <xf numFmtId="44" fontId="10" fillId="5" borderId="31" xfId="0" applyNumberFormat="1" applyFont="1" applyFill="1" applyBorder="1"/>
    <xf numFmtId="0" fontId="8" fillId="3" borderId="26" xfId="0" applyFont="1" applyFill="1" applyBorder="1" applyAlignment="1">
      <alignment horizontal="center"/>
    </xf>
    <xf numFmtId="44" fontId="10" fillId="5" borderId="30" xfId="0" applyNumberFormat="1" applyFont="1" applyFill="1" applyBorder="1"/>
    <xf numFmtId="44" fontId="10" fillId="3" borderId="30" xfId="0" applyNumberFormat="1" applyFont="1" applyFill="1" applyBorder="1"/>
    <xf numFmtId="0" fontId="8" fillId="3" borderId="47" xfId="0" applyFont="1" applyFill="1" applyBorder="1"/>
    <xf numFmtId="0" fontId="8" fillId="3" borderId="24" xfId="0" applyFont="1" applyFill="1" applyBorder="1" applyAlignment="1">
      <alignment horizontal="center"/>
    </xf>
    <xf numFmtId="0" fontId="8" fillId="5" borderId="33" xfId="27" applyFont="1" applyFill="1" applyBorder="1"/>
    <xf numFmtId="0" fontId="8" fillId="3" borderId="33" xfId="27" applyFont="1" applyFill="1" applyBorder="1"/>
    <xf numFmtId="0" fontId="8" fillId="3" borderId="48" xfId="27" applyFont="1" applyFill="1" applyBorder="1"/>
    <xf numFmtId="44" fontId="10" fillId="3" borderId="35" xfId="0" applyNumberFormat="1" applyFont="1" applyFill="1" applyBorder="1"/>
    <xf numFmtId="0" fontId="8" fillId="5" borderId="49" xfId="27" applyFont="1" applyFill="1" applyBorder="1"/>
    <xf numFmtId="44" fontId="10" fillId="5" borderId="50" xfId="0" applyNumberFormat="1" applyFont="1" applyFill="1" applyBorder="1"/>
    <xf numFmtId="44" fontId="10" fillId="5" borderId="51" xfId="0" applyNumberFormat="1" applyFont="1" applyFill="1" applyBorder="1"/>
    <xf numFmtId="0" fontId="10" fillId="3" borderId="34" xfId="27" applyFont="1" applyFill="1" applyBorder="1"/>
    <xf numFmtId="0" fontId="10" fillId="3" borderId="43" xfId="27" applyFont="1" applyFill="1" applyBorder="1" applyAlignment="1">
      <alignment horizontal="right"/>
    </xf>
    <xf numFmtId="0" fontId="15" fillId="6" borderId="42" xfId="0" applyFont="1" applyFill="1" applyBorder="1" applyAlignment="1">
      <alignment horizontal="left"/>
    </xf>
    <xf numFmtId="0" fontId="15" fillId="6" borderId="41" xfId="0" applyFont="1" applyFill="1" applyBorder="1" applyAlignment="1">
      <alignment horizontal="left"/>
    </xf>
    <xf numFmtId="0" fontId="20" fillId="6" borderId="39" xfId="0" applyFont="1" applyFill="1" applyBorder="1" applyAlignment="1">
      <alignment horizontal="left"/>
    </xf>
    <xf numFmtId="0" fontId="10" fillId="3" borderId="0" xfId="0" applyFont="1" applyFill="1" applyBorder="1"/>
    <xf numFmtId="0" fontId="10" fillId="5" borderId="28" xfId="0" applyFont="1" applyFill="1" applyBorder="1"/>
    <xf numFmtId="0" fontId="10" fillId="5" borderId="0" xfId="0" applyFont="1" applyFill="1" applyBorder="1"/>
    <xf numFmtId="44" fontId="10" fillId="5" borderId="30" xfId="1" applyFont="1" applyFill="1" applyBorder="1"/>
    <xf numFmtId="44" fontId="10" fillId="3" borderId="30" xfId="1" applyFont="1" applyFill="1" applyBorder="1"/>
    <xf numFmtId="44" fontId="10" fillId="5" borderId="55" xfId="1" applyFont="1" applyFill="1" applyBorder="1"/>
    <xf numFmtId="0" fontId="10" fillId="3" borderId="56" xfId="0" applyFont="1" applyFill="1" applyBorder="1"/>
    <xf numFmtId="0" fontId="10" fillId="5" borderId="44" xfId="0" applyFont="1" applyFill="1" applyBorder="1"/>
    <xf numFmtId="0" fontId="10" fillId="5" borderId="57" xfId="0" applyFont="1" applyFill="1" applyBorder="1"/>
    <xf numFmtId="0" fontId="10" fillId="3" borderId="55" xfId="0" applyFont="1" applyFill="1" applyBorder="1" applyAlignment="1">
      <alignment horizontal="center"/>
    </xf>
    <xf numFmtId="0" fontId="10" fillId="3" borderId="58" xfId="0" applyFont="1" applyFill="1" applyBorder="1" applyAlignment="1">
      <alignment horizontal="center"/>
    </xf>
    <xf numFmtId="44" fontId="10" fillId="5" borderId="32" xfId="1" applyFont="1" applyFill="1" applyBorder="1"/>
    <xf numFmtId="44" fontId="10" fillId="3" borderId="32" xfId="1" applyFont="1" applyFill="1" applyBorder="1"/>
    <xf numFmtId="44" fontId="10" fillId="5" borderId="58" xfId="1" applyFont="1" applyFill="1" applyBorder="1"/>
    <xf numFmtId="0" fontId="10" fillId="3" borderId="44" xfId="0" applyFont="1" applyFill="1" applyBorder="1" applyAlignment="1"/>
    <xf numFmtId="0" fontId="10" fillId="3" borderId="57" xfId="0" applyFont="1" applyFill="1" applyBorder="1" applyAlignment="1"/>
    <xf numFmtId="0" fontId="0" fillId="3" borderId="52" xfId="0" applyFill="1" applyBorder="1"/>
    <xf numFmtId="0" fontId="0" fillId="3" borderId="53" xfId="0" applyFill="1" applyBorder="1"/>
    <xf numFmtId="0" fontId="0" fillId="3" borderId="54" xfId="0" applyFill="1" applyBorder="1"/>
    <xf numFmtId="0" fontId="10" fillId="7" borderId="46" xfId="0" applyFont="1" applyFill="1" applyBorder="1" applyAlignment="1"/>
    <xf numFmtId="44" fontId="11" fillId="3" borderId="30" xfId="0" applyNumberFormat="1" applyFont="1" applyFill="1" applyBorder="1" applyAlignment="1">
      <alignment horizontal="center" vertical="center"/>
    </xf>
    <xf numFmtId="0" fontId="15" fillId="6" borderId="39" xfId="0" applyFont="1" applyFill="1" applyBorder="1" applyAlignment="1">
      <alignment horizontal="left" wrapText="1"/>
    </xf>
    <xf numFmtId="0" fontId="15" fillId="6" borderId="42" xfId="0" applyFont="1" applyFill="1" applyBorder="1" applyAlignment="1">
      <alignment horizontal="left" wrapText="1"/>
    </xf>
    <xf numFmtId="0" fontId="15" fillId="6" borderId="41" xfId="0" applyFont="1" applyFill="1" applyBorder="1" applyAlignment="1">
      <alignment horizontal="left" wrapText="1"/>
    </xf>
    <xf numFmtId="0" fontId="15" fillId="6" borderId="44" xfId="0" applyFont="1" applyFill="1" applyBorder="1" applyAlignment="1">
      <alignment horizontal="left" wrapText="1"/>
    </xf>
    <xf numFmtId="0" fontId="15" fillId="6" borderId="1" xfId="0" applyFont="1" applyFill="1" applyBorder="1" applyAlignment="1">
      <alignment horizontal="left" wrapText="1"/>
    </xf>
    <xf numFmtId="0" fontId="15" fillId="6" borderId="45" xfId="0" applyFont="1" applyFill="1" applyBorder="1" applyAlignment="1">
      <alignment horizontal="left" wrapText="1"/>
    </xf>
    <xf numFmtId="0" fontId="7" fillId="7" borderId="18" xfId="18" applyNumberFormat="1" applyFont="1" applyFill="1" applyBorder="1" applyAlignment="1">
      <alignment horizontal="center"/>
    </xf>
    <xf numFmtId="0" fontId="7" fillId="7" borderId="19" xfId="18" applyNumberFormat="1" applyFont="1" applyFill="1" applyBorder="1" applyAlignment="1">
      <alignment horizontal="center"/>
    </xf>
    <xf numFmtId="0" fontId="7" fillId="7" borderId="20" xfId="18" applyNumberFormat="1" applyFont="1" applyFill="1" applyBorder="1" applyAlignment="1">
      <alignment horizontal="center"/>
    </xf>
    <xf numFmtId="0" fontId="14" fillId="6" borderId="39"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41" xfId="0" applyFont="1" applyFill="1" applyBorder="1" applyAlignment="1">
      <alignment horizontal="center" vertical="center"/>
    </xf>
    <xf numFmtId="0" fontId="10" fillId="3" borderId="33" xfId="0" applyFont="1" applyFill="1" applyBorder="1" applyAlignment="1">
      <alignment horizontal="center" vertical="center" wrapText="1"/>
    </xf>
    <xf numFmtId="0" fontId="10" fillId="5" borderId="37" xfId="0" applyFont="1" applyFill="1" applyBorder="1" applyAlignment="1">
      <alignment horizontal="center" vertical="center" wrapText="1"/>
    </xf>
    <xf numFmtId="0" fontId="7" fillId="5" borderId="33" xfId="0" applyFont="1" applyFill="1" applyBorder="1" applyAlignment="1">
      <alignment horizontal="center" vertical="center" wrapText="1"/>
    </xf>
    <xf numFmtId="1" fontId="11" fillId="5" borderId="29" xfId="0" applyNumberFormat="1" applyFont="1" applyFill="1" applyBorder="1" applyAlignment="1">
      <alignment horizontal="center" vertical="center"/>
    </xf>
    <xf numFmtId="1" fontId="11" fillId="5" borderId="30" xfId="0" applyNumberFormat="1" applyFont="1" applyFill="1" applyBorder="1" applyAlignment="1">
      <alignment horizontal="center" vertical="center"/>
    </xf>
    <xf numFmtId="0" fontId="14" fillId="4" borderId="18" xfId="0" applyFont="1" applyFill="1" applyBorder="1" applyAlignment="1">
      <alignment horizontal="center"/>
    </xf>
    <xf numFmtId="0" fontId="14" fillId="4" borderId="19" xfId="0" applyFont="1" applyFill="1" applyBorder="1" applyAlignment="1">
      <alignment horizontal="center"/>
    </xf>
    <xf numFmtId="0" fontId="14" fillId="4" borderId="20" xfId="0" applyFont="1" applyFill="1" applyBorder="1" applyAlignment="1">
      <alignment horizontal="center"/>
    </xf>
    <xf numFmtId="0" fontId="8" fillId="0" borderId="21"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center"/>
    </xf>
    <xf numFmtId="0" fontId="8" fillId="0" borderId="23" xfId="0" applyFont="1" applyBorder="1" applyAlignment="1">
      <alignment horizontal="center"/>
    </xf>
    <xf numFmtId="0" fontId="8" fillId="0" borderId="24" xfId="0" applyFont="1" applyBorder="1" applyAlignment="1">
      <alignment horizontal="center"/>
    </xf>
    <xf numFmtId="0" fontId="10" fillId="5" borderId="28" xfId="0" applyFont="1" applyFill="1" applyBorder="1" applyAlignment="1">
      <alignment horizontal="center" vertical="center" wrapText="1"/>
    </xf>
    <xf numFmtId="1" fontId="11" fillId="5" borderId="38" xfId="0" applyNumberFormat="1" applyFont="1" applyFill="1" applyBorder="1" applyAlignment="1">
      <alignment horizontal="center" vertical="center"/>
    </xf>
    <xf numFmtId="1" fontId="11" fillId="5" borderId="32" xfId="0" applyNumberFormat="1" applyFont="1" applyFill="1" applyBorder="1" applyAlignment="1">
      <alignment horizontal="center" vertical="center"/>
    </xf>
    <xf numFmtId="0" fontId="10" fillId="5" borderId="33"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28" xfId="0" applyFont="1" applyFill="1" applyBorder="1" applyAlignment="1">
      <alignment horizontal="center" vertical="center"/>
    </xf>
    <xf numFmtId="0" fontId="10" fillId="3" borderId="39" xfId="0" applyFont="1" applyFill="1" applyBorder="1" applyAlignment="1">
      <alignment horizontal="center" vertical="center" wrapText="1"/>
    </xf>
    <xf numFmtId="9" fontId="11" fillId="5" borderId="30" xfId="3" applyFont="1" applyFill="1" applyBorder="1" applyAlignment="1">
      <alignment horizontal="center" vertical="center"/>
    </xf>
    <xf numFmtId="9" fontId="11" fillId="5" borderId="32" xfId="3" applyFont="1" applyFill="1" applyBorder="1" applyAlignment="1">
      <alignment horizontal="center" vertical="center"/>
    </xf>
    <xf numFmtId="0" fontId="16" fillId="5" borderId="0" xfId="0" applyFont="1" applyFill="1" applyBorder="1" applyAlignment="1">
      <alignment horizontal="left" vertical="center" wrapText="1"/>
    </xf>
    <xf numFmtId="0" fontId="16" fillId="5" borderId="31" xfId="0" applyFont="1" applyFill="1" applyBorder="1" applyAlignment="1">
      <alignment horizontal="left" vertical="center" wrapText="1"/>
    </xf>
    <xf numFmtId="0" fontId="16" fillId="5" borderId="28" xfId="0" applyFont="1" applyFill="1" applyBorder="1" applyAlignment="1">
      <alignment horizontal="left" vertical="center" wrapText="1"/>
    </xf>
    <xf numFmtId="0" fontId="16" fillId="3" borderId="28"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31" xfId="0" applyFont="1" applyFill="1" applyBorder="1" applyAlignment="1">
      <alignment horizontal="left" vertical="center" wrapText="1"/>
    </xf>
    <xf numFmtId="0" fontId="16" fillId="3" borderId="28" xfId="0" applyFont="1" applyFill="1" applyBorder="1" applyAlignment="1">
      <alignment horizontal="left" vertical="center"/>
    </xf>
    <xf numFmtId="0" fontId="16" fillId="3" borderId="0" xfId="0" applyFont="1" applyFill="1" applyBorder="1" applyAlignment="1">
      <alignment horizontal="left" vertical="center"/>
    </xf>
    <xf numFmtId="0" fontId="16" fillId="5" borderId="28" xfId="0" applyFont="1" applyFill="1" applyBorder="1" applyAlignment="1">
      <alignment horizontal="left" vertical="center"/>
    </xf>
    <xf numFmtId="0" fontId="16" fillId="5" borderId="0" xfId="0" applyFont="1" applyFill="1" applyBorder="1" applyAlignment="1">
      <alignment horizontal="left" vertical="center"/>
    </xf>
    <xf numFmtId="0" fontId="16" fillId="3" borderId="0" xfId="0" applyFont="1" applyFill="1" applyBorder="1" applyAlignment="1">
      <alignment horizontal="left" wrapText="1"/>
    </xf>
    <xf numFmtId="0" fontId="16" fillId="3" borderId="31" xfId="0" applyFont="1" applyFill="1" applyBorder="1" applyAlignment="1">
      <alignment horizontal="left" wrapText="1"/>
    </xf>
    <xf numFmtId="0" fontId="16" fillId="5" borderId="0" xfId="0" applyFont="1" applyFill="1" applyBorder="1" applyAlignment="1">
      <alignment horizontal="left" wrapText="1"/>
    </xf>
    <xf numFmtId="0" fontId="16" fillId="5" borderId="31" xfId="0" applyFont="1" applyFill="1" applyBorder="1" applyAlignment="1">
      <alignment horizontal="left" wrapText="1"/>
    </xf>
    <xf numFmtId="0" fontId="16" fillId="5" borderId="43" xfId="0" applyFont="1" applyFill="1" applyBorder="1" applyAlignment="1">
      <alignment horizontal="left" vertical="center" wrapText="1"/>
    </xf>
    <xf numFmtId="0" fontId="16" fillId="5" borderId="36" xfId="0" applyFont="1" applyFill="1" applyBorder="1" applyAlignment="1">
      <alignment horizontal="left" vertical="center" wrapText="1"/>
    </xf>
    <xf numFmtId="0" fontId="16" fillId="5" borderId="34" xfId="0" applyFont="1" applyFill="1" applyBorder="1" applyAlignment="1">
      <alignment horizontal="left" vertical="center"/>
    </xf>
    <xf numFmtId="0" fontId="16" fillId="5" borderId="43" xfId="0" applyFont="1" applyFill="1" applyBorder="1" applyAlignment="1">
      <alignment horizontal="left" vertical="center"/>
    </xf>
    <xf numFmtId="0" fontId="18" fillId="6" borderId="39" xfId="0" applyFont="1" applyFill="1" applyBorder="1" applyAlignment="1">
      <alignment horizontal="center"/>
    </xf>
    <xf numFmtId="0" fontId="18" fillId="6" borderId="42" xfId="0" applyFont="1" applyFill="1" applyBorder="1" applyAlignment="1">
      <alignment horizontal="center"/>
    </xf>
    <xf numFmtId="0" fontId="18" fillId="6" borderId="41" xfId="0" applyFont="1" applyFill="1" applyBorder="1" applyAlignment="1">
      <alignment horizontal="center"/>
    </xf>
    <xf numFmtId="0" fontId="20" fillId="6" borderId="39" xfId="0" applyFont="1" applyFill="1" applyBorder="1" applyAlignment="1">
      <alignment horizontal="left"/>
    </xf>
    <xf numFmtId="0" fontId="20" fillId="6" borderId="42" xfId="0" applyFont="1" applyFill="1" applyBorder="1" applyAlignment="1">
      <alignment horizontal="left"/>
    </xf>
    <xf numFmtId="0" fontId="20" fillId="6" borderId="41" xfId="0" applyFont="1" applyFill="1" applyBorder="1" applyAlignment="1">
      <alignment horizontal="left"/>
    </xf>
    <xf numFmtId="0" fontId="20" fillId="6" borderId="39" xfId="0" applyFont="1" applyFill="1" applyBorder="1" applyAlignment="1">
      <alignment horizontal="left" wrapText="1"/>
    </xf>
    <xf numFmtId="0" fontId="19" fillId="6" borderId="42" xfId="0" applyFont="1" applyFill="1" applyBorder="1" applyAlignment="1">
      <alignment horizontal="left" wrapText="1"/>
    </xf>
    <xf numFmtId="0" fontId="19" fillId="6" borderId="41" xfId="0" applyFont="1" applyFill="1" applyBorder="1" applyAlignment="1">
      <alignment horizontal="left" wrapText="1"/>
    </xf>
    <xf numFmtId="0" fontId="19" fillId="6" borderId="34" xfId="0" applyFont="1" applyFill="1" applyBorder="1" applyAlignment="1">
      <alignment horizontal="left" wrapText="1"/>
    </xf>
    <xf numFmtId="0" fontId="19" fillId="6" borderId="43" xfId="0" applyFont="1" applyFill="1" applyBorder="1" applyAlignment="1">
      <alignment horizontal="left" wrapText="1"/>
    </xf>
    <xf numFmtId="0" fontId="19" fillId="6" borderId="36" xfId="0" applyFont="1" applyFill="1" applyBorder="1" applyAlignment="1">
      <alignment horizontal="left" wrapText="1"/>
    </xf>
    <xf numFmtId="0" fontId="2" fillId="3" borderId="28" xfId="0" applyFont="1" applyFill="1" applyBorder="1" applyAlignment="1">
      <alignment horizontal="left" wrapText="1"/>
    </xf>
    <xf numFmtId="0" fontId="2" fillId="3" borderId="0" xfId="0" applyFont="1" applyFill="1" applyBorder="1" applyAlignment="1">
      <alignment horizontal="left" wrapText="1"/>
    </xf>
    <xf numFmtId="0" fontId="2" fillId="3" borderId="31" xfId="0" applyFont="1" applyFill="1" applyBorder="1" applyAlignment="1">
      <alignment horizontal="left" wrapText="1"/>
    </xf>
    <xf numFmtId="0" fontId="2" fillId="3" borderId="34" xfId="0" applyFont="1" applyFill="1" applyBorder="1" applyAlignment="1">
      <alignment horizontal="left" wrapText="1"/>
    </xf>
    <xf numFmtId="0" fontId="2" fillId="3" borderId="43" xfId="0" applyFont="1" applyFill="1" applyBorder="1" applyAlignment="1">
      <alignment horizontal="left" wrapText="1"/>
    </xf>
    <xf numFmtId="0" fontId="2" fillId="3" borderId="36" xfId="0" applyFont="1" applyFill="1" applyBorder="1" applyAlignment="1">
      <alignment horizontal="left" wrapText="1"/>
    </xf>
    <xf numFmtId="0" fontId="5" fillId="3" borderId="12" xfId="27" applyFont="1" applyFill="1" applyBorder="1" applyAlignment="1">
      <alignment horizontal="center"/>
    </xf>
    <xf numFmtId="0" fontId="5" fillId="3" borderId="13" xfId="27" applyFont="1" applyFill="1" applyBorder="1" applyAlignment="1">
      <alignment horizontal="center"/>
    </xf>
    <xf numFmtId="0" fontId="5" fillId="3" borderId="14" xfId="27" applyFont="1" applyFill="1" applyBorder="1" applyAlignment="1">
      <alignment horizontal="center"/>
    </xf>
    <xf numFmtId="0" fontId="2" fillId="0" borderId="0" xfId="27" applyAlignment="1">
      <alignment horizontal="center"/>
    </xf>
    <xf numFmtId="0" fontId="5" fillId="3" borderId="0" xfId="27" applyFont="1" applyFill="1" applyBorder="1" applyAlignment="1">
      <alignment horizontal="center"/>
    </xf>
    <xf numFmtId="0" fontId="5" fillId="3" borderId="4" xfId="27" applyFont="1" applyFill="1" applyBorder="1" applyAlignment="1">
      <alignment horizontal="center"/>
    </xf>
    <xf numFmtId="0" fontId="5" fillId="3" borderId="0" xfId="0" applyFont="1" applyFill="1" applyBorder="1" applyAlignment="1">
      <alignment horizontal="center"/>
    </xf>
    <xf numFmtId="0" fontId="5" fillId="3" borderId="4" xfId="0" applyFont="1" applyFill="1" applyBorder="1" applyAlignment="1">
      <alignment horizontal="center"/>
    </xf>
    <xf numFmtId="0" fontId="5" fillId="3" borderId="12"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49" fontId="7" fillId="3" borderId="12" xfId="0" applyNumberFormat="1" applyFont="1" applyFill="1" applyBorder="1" applyAlignment="1">
      <alignment horizontal="center"/>
    </xf>
    <xf numFmtId="49" fontId="7" fillId="3" borderId="13" xfId="0" applyNumberFormat="1" applyFont="1" applyFill="1" applyBorder="1" applyAlignment="1">
      <alignment horizontal="center"/>
    </xf>
    <xf numFmtId="49" fontId="7" fillId="3" borderId="14" xfId="0" applyNumberFormat="1" applyFont="1" applyFill="1" applyBorder="1" applyAlignment="1">
      <alignment horizontal="center"/>
    </xf>
    <xf numFmtId="0" fontId="0" fillId="3" borderId="3" xfId="0" applyFill="1" applyBorder="1" applyAlignment="1">
      <alignment horizontal="left" wrapText="1"/>
    </xf>
    <xf numFmtId="0" fontId="0" fillId="3" borderId="0" xfId="0" applyFill="1" applyBorder="1" applyAlignment="1">
      <alignment horizontal="left" wrapText="1"/>
    </xf>
    <xf numFmtId="0" fontId="0" fillId="3" borderId="4" xfId="0" applyFill="1" applyBorder="1" applyAlignment="1">
      <alignment horizontal="left" wrapText="1"/>
    </xf>
    <xf numFmtId="0" fontId="0" fillId="3" borderId="9" xfId="0" applyFill="1" applyBorder="1" applyAlignment="1">
      <alignment horizontal="left" wrapText="1"/>
    </xf>
    <xf numFmtId="0" fontId="0" fillId="3" borderId="10" xfId="0" applyFill="1" applyBorder="1" applyAlignment="1">
      <alignment horizontal="left" wrapText="1"/>
    </xf>
    <xf numFmtId="0" fontId="0" fillId="3" borderId="11" xfId="0" applyFill="1" applyBorder="1" applyAlignment="1">
      <alignment horizontal="left" wrapText="1"/>
    </xf>
    <xf numFmtId="0" fontId="0" fillId="3" borderId="0" xfId="0" applyFill="1" applyBorder="1" applyAlignment="1">
      <alignment horizontal="center"/>
    </xf>
  </cellXfs>
  <cellStyles count="54">
    <cellStyle name="Bad" xfId="2" builtinId="27"/>
    <cellStyle name="Comma" xfId="18" builtinId="3"/>
    <cellStyle name="Currency" xfId="1" builtinId="4"/>
    <cellStyle name="Currency 2" xfId="28"/>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9" builtinId="8" hidden="1"/>
    <cellStyle name="Hyperlink" xfId="21" builtinId="8" hidden="1"/>
    <cellStyle name="Hyperlink" xfId="23" builtinId="8" hidden="1"/>
    <cellStyle name="Hyperlink" xfId="25"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Normal 2" xfId="27"/>
    <cellStyle name="Percent" xfId="3" builtinId="5"/>
    <cellStyle name="Percent 2"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customXml" Target="../customXml/item1.xml"/><Relationship Id="rId12" Type="http://schemas.openxmlformats.org/officeDocument/2006/relationships/worksheet" Target="worksheets/sheet12.xml"/><Relationship Id="rId17" Type="http://schemas.openxmlformats.org/officeDocument/2006/relationships/theme" Target="theme/theme1.xml"/><Relationship Id="rId7" Type="http://schemas.openxmlformats.org/officeDocument/2006/relationships/worksheet" Target="worksheets/sheet7.xml"/><Relationship Id="rId20" Type="http://schemas.openxmlformats.org/officeDocument/2006/relationships/calcChain" Target="calcChain.xml"/><Relationship Id="rId16" Type="http://schemas.openxmlformats.org/officeDocument/2006/relationships/worksheet" Target="worksheets/sheet16.xml"/><Relationship Id="rId2" Type="http://schemas.openxmlformats.org/officeDocument/2006/relationships/worksheet" Target="worksheets/sheet2.xml"/><Relationship Id="rId11" Type="http://schemas.openxmlformats.org/officeDocument/2006/relationships/worksheet" Target="worksheets/sheet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5" Type="http://schemas.openxmlformats.org/officeDocument/2006/relationships/worksheet" Target="worksheets/sheet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9" Type="http://schemas.openxmlformats.org/officeDocument/2006/relationships/worksheet" Target="worksheets/sheet9.xml"/><Relationship Id="rId14" Type="http://schemas.openxmlformats.org/officeDocument/2006/relationships/worksheet" Target="worksheets/sheet14.xml"/><Relationship Id="rId4" Type="http://schemas.openxmlformats.org/officeDocument/2006/relationships/worksheet" Target="worksheets/sheet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F26"/>
    </sheetView>
  </sheetViews>
  <sheetFormatPr baseColWidth="10" defaultColWidth="8.83203125" defaultRowHeight="14" x14ac:dyDescent="0"/>
  <cols>
    <col min="1" max="1" width="35.83203125" bestFit="1" customWidth="1"/>
    <col min="2" max="3" width="12.5" bestFit="1" customWidth="1"/>
    <col min="4" max="5" width="11.5" bestFit="1" customWidth="1"/>
    <col min="6" max="6" width="13.6640625" bestFit="1" customWidth="1"/>
  </cols>
  <sheetData>
    <row r="1" spans="1:6">
      <c r="A1" t="s">
        <v>184</v>
      </c>
    </row>
    <row r="2" spans="1:6">
      <c r="A2" t="s">
        <v>179</v>
      </c>
      <c r="B2">
        <f>PCDS!B6</f>
        <v>25000</v>
      </c>
    </row>
    <row r="3" spans="1:6">
      <c r="A3" t="s">
        <v>158</v>
      </c>
      <c r="B3">
        <f>PCDS!B9</f>
        <v>40</v>
      </c>
    </row>
    <row r="5" spans="1:6">
      <c r="B5" t="s">
        <v>155</v>
      </c>
      <c r="C5" t="s">
        <v>81</v>
      </c>
      <c r="D5" t="s">
        <v>156</v>
      </c>
      <c r="E5" t="s">
        <v>147</v>
      </c>
      <c r="F5" t="s">
        <v>157</v>
      </c>
    </row>
    <row r="6" spans="1:6">
      <c r="A6" t="s">
        <v>182</v>
      </c>
      <c r="B6" s="50">
        <f>'Cow-Calf'!M8+'Cow-Calf'!M26</f>
        <v>1547</v>
      </c>
      <c r="C6" s="50">
        <f>'Dairy Steer'!M12+'Dairy Steer'!H9</f>
        <v>441.33500000000004</v>
      </c>
      <c r="D6" s="50">
        <f>Sheep!M8+Sheep!M25</f>
        <v>269</v>
      </c>
      <c r="E6" s="50">
        <f>Goat!M8+Goat!M25</f>
        <v>319</v>
      </c>
      <c r="F6" s="50">
        <f>Turkey!H9+Turkey!M9</f>
        <v>3.8466666666666667</v>
      </c>
    </row>
    <row r="7" spans="1:6">
      <c r="A7" t="s">
        <v>183</v>
      </c>
      <c r="B7">
        <f>'Cow-Calf'!C12</f>
        <v>2.4500000000000002</v>
      </c>
      <c r="C7">
        <f>'Dairy Steer'!C13</f>
        <v>0.5</v>
      </c>
      <c r="D7">
        <f>Sheep!C13</f>
        <v>0.2</v>
      </c>
      <c r="E7">
        <f>Goat!C12</f>
        <v>0.3</v>
      </c>
      <c r="F7">
        <f>6/3000</f>
        <v>2E-3</v>
      </c>
    </row>
    <row r="9" spans="1:6">
      <c r="A9" t="s">
        <v>185</v>
      </c>
    </row>
    <row r="10" spans="1:6">
      <c r="A10" t="s">
        <v>179</v>
      </c>
      <c r="B10" s="51">
        <f>$B$2/B6</f>
        <v>16.160310277957336</v>
      </c>
      <c r="C10" s="51">
        <f t="shared" ref="C10:F10" si="0">$B$2/C6</f>
        <v>56.646311758641389</v>
      </c>
      <c r="D10" s="51">
        <f t="shared" si="0"/>
        <v>92.936802973977692</v>
      </c>
      <c r="E10" s="51">
        <f t="shared" si="0"/>
        <v>78.369905956112859</v>
      </c>
      <c r="F10" s="51">
        <f t="shared" si="0"/>
        <v>6499.1334488734838</v>
      </c>
    </row>
    <row r="11" spans="1:6">
      <c r="A11" t="s">
        <v>158</v>
      </c>
      <c r="B11" s="52">
        <f>$B$3/B7</f>
        <v>16.326530612244898</v>
      </c>
      <c r="C11" s="52">
        <f t="shared" ref="C11:F11" si="1">$B$3/C7</f>
        <v>80</v>
      </c>
      <c r="D11" s="52">
        <f t="shared" si="1"/>
        <v>200</v>
      </c>
      <c r="E11" s="52">
        <f t="shared" si="1"/>
        <v>133.33333333333334</v>
      </c>
      <c r="F11" s="52">
        <f t="shared" si="1"/>
        <v>20000</v>
      </c>
    </row>
    <row r="12" spans="1:6">
      <c r="A12" t="s">
        <v>193</v>
      </c>
      <c r="B12" s="52">
        <v>100</v>
      </c>
      <c r="C12" s="52">
        <v>200</v>
      </c>
      <c r="D12" s="52">
        <v>300</v>
      </c>
      <c r="E12" s="52">
        <v>300</v>
      </c>
      <c r="F12" s="52">
        <v>4500</v>
      </c>
    </row>
    <row r="14" spans="1:6">
      <c r="B14" s="52">
        <f>MIN(B10:B12)</f>
        <v>16.160310277957336</v>
      </c>
      <c r="C14" s="52">
        <f t="shared" ref="C14:F14" si="2">MIN(C10:C12)</f>
        <v>56.646311758641389</v>
      </c>
      <c r="D14" s="52">
        <f t="shared" si="2"/>
        <v>92.936802973977692</v>
      </c>
      <c r="E14" s="52">
        <f t="shared" si="2"/>
        <v>78.369905956112859</v>
      </c>
      <c r="F14" s="52">
        <f t="shared" si="2"/>
        <v>4500</v>
      </c>
    </row>
    <row r="15" spans="1:6">
      <c r="A15" t="s">
        <v>186</v>
      </c>
      <c r="B15" s="52">
        <f>ROUNDDOWN(B14,0)</f>
        <v>16</v>
      </c>
      <c r="C15" s="52">
        <f t="shared" ref="C15:F15" si="3">ROUNDDOWN(C14,0)</f>
        <v>56</v>
      </c>
      <c r="D15" s="52">
        <f t="shared" si="3"/>
        <v>92</v>
      </c>
      <c r="E15" s="52">
        <f t="shared" si="3"/>
        <v>78</v>
      </c>
      <c r="F15" s="52">
        <f t="shared" si="3"/>
        <v>4500</v>
      </c>
    </row>
    <row r="16" spans="1:6">
      <c r="A16" t="s">
        <v>195</v>
      </c>
      <c r="B16" s="50">
        <f>B15*B6</f>
        <v>24752</v>
      </c>
      <c r="C16" s="50">
        <f t="shared" ref="C16:F16" si="4">C15*C6</f>
        <v>24714.760000000002</v>
      </c>
      <c r="D16" s="50">
        <f t="shared" si="4"/>
        <v>24748</v>
      </c>
      <c r="E16" s="50">
        <f t="shared" si="4"/>
        <v>24882</v>
      </c>
      <c r="F16" s="50">
        <f t="shared" si="4"/>
        <v>17310</v>
      </c>
    </row>
    <row r="17" spans="1:6">
      <c r="A17" t="s">
        <v>200</v>
      </c>
      <c r="B17" s="50">
        <f>ROUND(B6,2)</f>
        <v>1547</v>
      </c>
      <c r="C17" s="50">
        <f t="shared" ref="C17:F17" si="5">ROUND(C6,2)</f>
        <v>441.34</v>
      </c>
      <c r="D17" s="50">
        <f t="shared" si="5"/>
        <v>269</v>
      </c>
      <c r="E17" s="50">
        <f t="shared" si="5"/>
        <v>319</v>
      </c>
      <c r="F17" s="50">
        <f t="shared" si="5"/>
        <v>3.85</v>
      </c>
    </row>
    <row r="18" spans="1:6">
      <c r="A18" t="s">
        <v>188</v>
      </c>
      <c r="B18">
        <f>B15*B7</f>
        <v>39.200000000000003</v>
      </c>
      <c r="C18">
        <f t="shared" ref="C18:F18" si="6">C15*C7</f>
        <v>28</v>
      </c>
      <c r="D18">
        <f t="shared" si="6"/>
        <v>18.400000000000002</v>
      </c>
      <c r="E18">
        <f t="shared" si="6"/>
        <v>23.4</v>
      </c>
      <c r="F18">
        <f t="shared" si="6"/>
        <v>9</v>
      </c>
    </row>
    <row r="19" spans="1:6">
      <c r="A19" t="s">
        <v>196</v>
      </c>
      <c r="B19" s="50">
        <f>'Cow-Calf'!H33*B15</f>
        <v>14069.004000000001</v>
      </c>
      <c r="C19" s="50">
        <f>ROUND(('Dairy Steer'!H33-'Dairy Steer'!H9)*C15, 2)</f>
        <v>24192.03</v>
      </c>
      <c r="D19" s="50">
        <f>Sheep!H32*Calculations!D15</f>
        <v>23678.959999999999</v>
      </c>
      <c r="E19" s="50">
        <f>Goat!H36*Calculations!E15</f>
        <v>12065.874368363637</v>
      </c>
      <c r="F19" s="68">
        <f>ROUND((Turkey!H29-Turkey!H9)*Calculations!F15,2)</f>
        <v>54883.27</v>
      </c>
    </row>
    <row r="20" spans="1:6">
      <c r="A20" t="s">
        <v>202</v>
      </c>
      <c r="B20" s="68"/>
      <c r="C20" s="68">
        <f>'Dairy Steer'!H33*Calculations!C15</f>
        <v>42774.79108000001</v>
      </c>
      <c r="D20" s="68"/>
      <c r="E20" s="68"/>
      <c r="F20" s="68">
        <f>Turkey!H29*Calculations!F15</f>
        <v>61318.270500000006</v>
      </c>
    </row>
    <row r="21" spans="1:6">
      <c r="A21" t="s">
        <v>201</v>
      </c>
      <c r="B21" s="50">
        <f>ROUND('Cow-Calf'!H33,2)</f>
        <v>879.31</v>
      </c>
      <c r="C21" s="50">
        <f>ROUND('Dairy Steer'!H33,2)</f>
        <v>763.84</v>
      </c>
      <c r="D21" s="50">
        <f>ROUND(Sheep!H32,2)</f>
        <v>257.38</v>
      </c>
      <c r="E21" s="50">
        <f>ROUND(Goat!H36,2)</f>
        <v>154.69</v>
      </c>
      <c r="F21" s="50">
        <f>ROUND(Turkey!H29,2)</f>
        <v>13.63</v>
      </c>
    </row>
    <row r="22" spans="1:6">
      <c r="A22" t="s">
        <v>197</v>
      </c>
      <c r="B22" s="67">
        <f>'Cow-Calf'!H18/Calculations!B21</f>
        <v>0.56515904516040993</v>
      </c>
      <c r="C22" s="67">
        <f>'Dairy Steer'!H18/Calculations!C21</f>
        <v>0.35955697528278174</v>
      </c>
      <c r="D22" s="67">
        <f>Sheep!H17/Calculations!D21</f>
        <v>0.48954852746911182</v>
      </c>
      <c r="E22" s="67">
        <f>Goat!H20/Calculations!E21</f>
        <v>0.37871355614454716</v>
      </c>
      <c r="F22" s="67">
        <f>Turkey!H15/Calculations!F21</f>
        <v>0.62672046955245775</v>
      </c>
    </row>
    <row r="23" spans="1:6">
      <c r="A23" t="s">
        <v>198</v>
      </c>
      <c r="B23" s="50">
        <f>'Cow-Calf'!H35*B15</f>
        <v>-1857.8040000000019</v>
      </c>
      <c r="C23" s="50">
        <f>'Dairy Steer'!H35*Calculations!C15</f>
        <v>-8886.3910800000085</v>
      </c>
      <c r="D23" s="50">
        <f>Sheep!H34*Calculations!D15</f>
        <v>586.08600000000456</v>
      </c>
      <c r="E23" s="50">
        <f>Goat!H38*Calculations!E15</f>
        <v>6472.8598716363631</v>
      </c>
      <c r="F23" s="50">
        <f>Turkey!H31*Calculations!F15</f>
        <v>-10693.270500000002</v>
      </c>
    </row>
    <row r="24" spans="1:6">
      <c r="A24" t="s">
        <v>203</v>
      </c>
      <c r="B24" s="50">
        <f>ROUND('Cow-Calf'!H35,2)</f>
        <v>-116.11</v>
      </c>
      <c r="C24" s="50">
        <f>ROUND('Dairy Steer'!H35,2)</f>
        <v>-158.69</v>
      </c>
      <c r="D24" s="50">
        <f>ROUND(Sheep!H34,2)</f>
        <v>6.37</v>
      </c>
      <c r="E24" s="50">
        <f>ROUND(Goat!H38,2)</f>
        <v>82.99</v>
      </c>
      <c r="F24" s="50">
        <f>ROUND(Turkey!H31,2)</f>
        <v>-2.38</v>
      </c>
    </row>
    <row r="25" spans="1:6">
      <c r="A25" t="s">
        <v>199</v>
      </c>
      <c r="B25" s="52">
        <f>'Cow-Calf'!C24*Calculations!B15</f>
        <v>128</v>
      </c>
      <c r="C25">
        <f>'Dairy Steer'!C27*Calculations!C15</f>
        <v>112</v>
      </c>
      <c r="D25">
        <f>Sheep!C23*Calculations!D15</f>
        <v>460</v>
      </c>
      <c r="E25" s="52">
        <f>Goat!C27*Calculations!E15</f>
        <v>156</v>
      </c>
      <c r="F25">
        <f>Turkey!C22*Calculations!F15</f>
        <v>720</v>
      </c>
    </row>
    <row r="26" spans="1:6">
      <c r="A26" t="s">
        <v>204</v>
      </c>
      <c r="B26">
        <f>'Cow-Calf'!C24</f>
        <v>8</v>
      </c>
      <c r="C26">
        <f>'Dairy Steer'!C27</f>
        <v>2</v>
      </c>
      <c r="D26">
        <f>Sheep!C23</f>
        <v>5</v>
      </c>
      <c r="E26">
        <f>Goat!C27</f>
        <v>2</v>
      </c>
      <c r="F26">
        <f>Turkey!C22</f>
        <v>0.16</v>
      </c>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8"/>
  <sheetViews>
    <sheetView workbookViewId="0">
      <selection activeCell="J2" sqref="J2:M28"/>
    </sheetView>
  </sheetViews>
  <sheetFormatPr baseColWidth="10" defaultColWidth="8.83203125" defaultRowHeight="14" x14ac:dyDescent="0"/>
  <cols>
    <col min="2" max="2" width="37.5" bestFit="1" customWidth="1"/>
    <col min="5" max="5" width="9.5" bestFit="1" customWidth="1"/>
    <col min="8" max="8" width="9.83203125" bestFit="1" customWidth="1"/>
    <col min="10" max="10" width="34.5" customWidth="1"/>
    <col min="13" max="13" width="12.1640625" customWidth="1"/>
  </cols>
  <sheetData>
    <row r="1" spans="2:13" ht="15" thickBot="1"/>
    <row r="2" spans="2:13" ht="20" thickTop="1" thickBot="1">
      <c r="B2" s="228" t="s">
        <v>95</v>
      </c>
      <c r="C2" s="229"/>
      <c r="D2" s="229"/>
      <c r="E2" s="229"/>
      <c r="F2" s="229"/>
      <c r="G2" s="229"/>
      <c r="H2" s="230"/>
      <c r="J2" s="228" t="s">
        <v>106</v>
      </c>
      <c r="K2" s="229"/>
      <c r="L2" s="229"/>
      <c r="M2" s="230"/>
    </row>
    <row r="3" spans="2:13" ht="15" thickTop="1">
      <c r="B3" s="5"/>
      <c r="C3" s="6"/>
      <c r="D3" s="6"/>
      <c r="E3" s="6"/>
      <c r="F3" s="6"/>
      <c r="G3" s="6"/>
      <c r="H3" s="7"/>
      <c r="J3" s="5"/>
      <c r="K3" s="6"/>
      <c r="L3" s="6"/>
      <c r="M3" s="7"/>
    </row>
    <row r="4" spans="2:13">
      <c r="B4" s="5"/>
      <c r="C4" s="237" t="s">
        <v>12</v>
      </c>
      <c r="D4" s="237"/>
      <c r="E4" s="237" t="s">
        <v>16</v>
      </c>
      <c r="F4" s="237"/>
      <c r="G4" s="6"/>
      <c r="H4" s="7" t="s">
        <v>27</v>
      </c>
      <c r="J4" s="8" t="s">
        <v>101</v>
      </c>
      <c r="K4" s="237"/>
      <c r="L4" s="237"/>
      <c r="M4" s="23"/>
    </row>
    <row r="5" spans="2:13">
      <c r="B5" s="8" t="s">
        <v>13</v>
      </c>
      <c r="C5" s="6"/>
      <c r="D5" s="6"/>
      <c r="E5" s="6"/>
      <c r="F5" s="6"/>
      <c r="G5" s="6"/>
      <c r="H5" s="7"/>
      <c r="J5" s="13" t="s">
        <v>96</v>
      </c>
      <c r="K5" s="6"/>
      <c r="L5" s="6"/>
      <c r="M5" s="24">
        <v>125</v>
      </c>
    </row>
    <row r="6" spans="2:13">
      <c r="B6" s="5" t="s">
        <v>89</v>
      </c>
      <c r="C6" s="6">
        <v>125</v>
      </c>
      <c r="D6" s="6" t="s">
        <v>14</v>
      </c>
      <c r="E6" s="14">
        <f>Assumptions!C24</f>
        <v>150.71</v>
      </c>
      <c r="F6" s="6" t="s">
        <v>15</v>
      </c>
      <c r="G6" s="6"/>
      <c r="H6" s="11">
        <f>(C6*(E6/100))*1.24</f>
        <v>233.60050000000001</v>
      </c>
      <c r="J6" s="5" t="s">
        <v>120</v>
      </c>
      <c r="K6" s="6"/>
      <c r="L6" s="6"/>
      <c r="M6" s="24">
        <v>20</v>
      </c>
    </row>
    <row r="7" spans="2:13">
      <c r="B7" s="5" t="s">
        <v>90</v>
      </c>
      <c r="C7" s="6">
        <v>150</v>
      </c>
      <c r="D7" s="6" t="s">
        <v>14</v>
      </c>
      <c r="E7" s="14">
        <f>Assumptions!C29</f>
        <v>88</v>
      </c>
      <c r="F7" s="6" t="s">
        <v>15</v>
      </c>
      <c r="G7" s="6"/>
      <c r="H7" s="11">
        <f>(C7*(E7/100))*0.15</f>
        <v>19.8</v>
      </c>
      <c r="J7" s="22" t="s">
        <v>119</v>
      </c>
      <c r="K7" s="2"/>
      <c r="L7" s="2"/>
      <c r="M7" s="25">
        <v>14</v>
      </c>
    </row>
    <row r="8" spans="2:13">
      <c r="B8" s="9" t="s">
        <v>88</v>
      </c>
      <c r="C8" s="2">
        <v>9</v>
      </c>
      <c r="D8" s="2" t="s">
        <v>14</v>
      </c>
      <c r="E8" s="3">
        <f>Assumptions!C27</f>
        <v>1.1499999999999999</v>
      </c>
      <c r="F8" s="2" t="s">
        <v>35</v>
      </c>
      <c r="G8" s="2"/>
      <c r="H8" s="10">
        <f>C8*E8</f>
        <v>10.35</v>
      </c>
      <c r="J8" s="8" t="s">
        <v>97</v>
      </c>
      <c r="K8" s="6"/>
      <c r="L8" s="6"/>
      <c r="M8" s="26">
        <f>SUM(M5:M7)</f>
        <v>159</v>
      </c>
    </row>
    <row r="9" spans="2:13">
      <c r="B9" s="8" t="s">
        <v>28</v>
      </c>
      <c r="C9" s="6"/>
      <c r="D9" s="6"/>
      <c r="E9" s="6"/>
      <c r="F9" s="6"/>
      <c r="G9" s="6"/>
      <c r="H9" s="11">
        <f>SUM(H6:H8)</f>
        <v>263.75050000000005</v>
      </c>
      <c r="J9" s="8"/>
      <c r="K9" s="6"/>
      <c r="L9" s="6"/>
      <c r="M9" s="7"/>
    </row>
    <row r="10" spans="2:13">
      <c r="B10" s="5"/>
      <c r="C10" s="6"/>
      <c r="D10" s="6"/>
      <c r="E10" s="6"/>
      <c r="F10" s="6"/>
      <c r="G10" s="6"/>
      <c r="H10" s="11"/>
      <c r="J10" s="8" t="s">
        <v>127</v>
      </c>
      <c r="K10" s="6"/>
      <c r="L10" s="6"/>
      <c r="M10" s="24"/>
    </row>
    <row r="11" spans="2:13">
      <c r="B11" s="8" t="s">
        <v>17</v>
      </c>
      <c r="C11" s="6"/>
      <c r="D11" s="6"/>
      <c r="E11" s="6"/>
      <c r="F11" s="6"/>
      <c r="G11" s="6"/>
      <c r="H11" s="12"/>
      <c r="J11" s="13" t="s">
        <v>98</v>
      </c>
      <c r="K11" s="6"/>
      <c r="L11" s="6"/>
      <c r="M11" s="24">
        <v>350</v>
      </c>
    </row>
    <row r="12" spans="2:13">
      <c r="B12" s="13" t="s">
        <v>18</v>
      </c>
      <c r="C12" s="6"/>
      <c r="D12" s="6"/>
      <c r="E12" s="6"/>
      <c r="F12" s="6"/>
      <c r="G12" s="6"/>
      <c r="H12" s="12"/>
      <c r="J12" s="5" t="s">
        <v>69</v>
      </c>
      <c r="K12" s="6"/>
      <c r="L12" s="6"/>
      <c r="M12" s="24">
        <v>70</v>
      </c>
    </row>
    <row r="13" spans="2:13">
      <c r="B13" s="5" t="s">
        <v>1</v>
      </c>
      <c r="C13" s="6">
        <v>0.2</v>
      </c>
      <c r="D13" s="6" t="s">
        <v>19</v>
      </c>
      <c r="E13" s="14">
        <f>Assumptions!C13</f>
        <v>35</v>
      </c>
      <c r="F13" s="6" t="s">
        <v>38</v>
      </c>
      <c r="G13" s="6"/>
      <c r="H13" s="15">
        <f>C13*E13</f>
        <v>7</v>
      </c>
      <c r="J13" s="5" t="s">
        <v>99</v>
      </c>
      <c r="K13" s="6"/>
      <c r="L13" s="6"/>
      <c r="M13" s="27">
        <v>25</v>
      </c>
    </row>
    <row r="14" spans="2:13">
      <c r="B14" s="5" t="s">
        <v>20</v>
      </c>
      <c r="C14" s="6">
        <v>0.2</v>
      </c>
      <c r="D14" s="6" t="s">
        <v>19</v>
      </c>
      <c r="E14" s="14">
        <f>Assumptions!C14</f>
        <v>20</v>
      </c>
      <c r="F14" s="6" t="s">
        <v>38</v>
      </c>
      <c r="G14" s="6"/>
      <c r="H14" s="15">
        <f t="shared" ref="H14:H16" si="0">C14*E14</f>
        <v>4</v>
      </c>
      <c r="J14" s="9" t="s">
        <v>71</v>
      </c>
      <c r="K14" s="2"/>
      <c r="L14" s="2"/>
      <c r="M14" s="28">
        <v>2</v>
      </c>
    </row>
    <row r="15" spans="2:13">
      <c r="B15" s="5" t="s">
        <v>2</v>
      </c>
      <c r="C15" s="6">
        <v>10</v>
      </c>
      <c r="D15" s="6" t="s">
        <v>21</v>
      </c>
      <c r="E15" s="14">
        <f>Assumptions!C5</f>
        <v>5.5</v>
      </c>
      <c r="F15" s="6" t="s">
        <v>21</v>
      </c>
      <c r="G15" s="6"/>
      <c r="H15" s="15">
        <f t="shared" si="0"/>
        <v>55</v>
      </c>
      <c r="J15" s="8" t="s">
        <v>97</v>
      </c>
      <c r="K15" s="6"/>
      <c r="L15" s="6"/>
      <c r="M15" s="24">
        <f>((M11-M12)/M13)/M14</f>
        <v>5.6</v>
      </c>
    </row>
    <row r="16" spans="2:13">
      <c r="B16" s="9" t="s">
        <v>23</v>
      </c>
      <c r="C16" s="2">
        <v>0.4</v>
      </c>
      <c r="D16" s="2" t="s">
        <v>24</v>
      </c>
      <c r="E16" s="3">
        <f>Assumptions!C9</f>
        <v>150</v>
      </c>
      <c r="F16" s="2" t="s">
        <v>36</v>
      </c>
      <c r="G16" s="2"/>
      <c r="H16" s="16">
        <f t="shared" si="0"/>
        <v>60</v>
      </c>
      <c r="J16" s="5"/>
      <c r="K16" s="6"/>
      <c r="L16" s="6"/>
      <c r="M16" s="7"/>
    </row>
    <row r="17" spans="2:13">
      <c r="B17" s="5" t="s">
        <v>26</v>
      </c>
      <c r="C17" s="6"/>
      <c r="D17" s="6"/>
      <c r="E17" s="6"/>
      <c r="F17" s="6"/>
      <c r="G17" s="6"/>
      <c r="H17" s="11">
        <f>SUM(H13:H16)</f>
        <v>126</v>
      </c>
      <c r="J17" s="8" t="s">
        <v>79</v>
      </c>
      <c r="K17" s="6"/>
      <c r="L17" s="6"/>
      <c r="M17" s="7"/>
    </row>
    <row r="18" spans="2:13">
      <c r="B18" s="5"/>
      <c r="C18" s="6"/>
      <c r="D18" s="6"/>
      <c r="E18" s="6"/>
      <c r="F18" s="6"/>
      <c r="G18" s="6"/>
      <c r="H18" s="12"/>
      <c r="J18" s="13" t="s">
        <v>100</v>
      </c>
      <c r="K18" s="6"/>
      <c r="L18" s="6"/>
      <c r="M18" s="7"/>
    </row>
    <row r="19" spans="2:13">
      <c r="B19" s="5" t="s">
        <v>29</v>
      </c>
      <c r="C19" s="6"/>
      <c r="D19" s="6"/>
      <c r="E19" s="6"/>
      <c r="F19" s="6"/>
      <c r="G19" s="6"/>
      <c r="H19" s="15">
        <v>8</v>
      </c>
      <c r="J19" s="5" t="s">
        <v>102</v>
      </c>
      <c r="K19" s="6"/>
      <c r="L19" s="6"/>
      <c r="M19" s="24">
        <v>4500</v>
      </c>
    </row>
    <row r="20" spans="2:13">
      <c r="B20" s="5" t="s">
        <v>30</v>
      </c>
      <c r="C20" s="6"/>
      <c r="D20" s="6"/>
      <c r="E20" s="6"/>
      <c r="F20" s="6"/>
      <c r="G20" s="6"/>
      <c r="H20" s="15">
        <v>5</v>
      </c>
      <c r="J20" s="5" t="s">
        <v>103</v>
      </c>
      <c r="K20" s="6"/>
      <c r="L20" s="6"/>
      <c r="M20" s="24">
        <v>3000</v>
      </c>
    </row>
    <row r="21" spans="2:13">
      <c r="B21" s="5" t="s">
        <v>31</v>
      </c>
      <c r="C21" s="6"/>
      <c r="D21" s="6"/>
      <c r="E21" s="6"/>
      <c r="F21" s="6"/>
      <c r="G21" s="6"/>
      <c r="H21" s="15">
        <v>5</v>
      </c>
      <c r="J21" s="5" t="s">
        <v>104</v>
      </c>
      <c r="K21" s="6"/>
      <c r="L21" s="6"/>
      <c r="M21" s="24">
        <v>2000</v>
      </c>
    </row>
    <row r="22" spans="2:13">
      <c r="B22" s="5" t="s">
        <v>32</v>
      </c>
      <c r="C22" s="6">
        <v>6</v>
      </c>
      <c r="D22" s="6" t="s">
        <v>48</v>
      </c>
      <c r="E22" s="34">
        <f>Assumptions!C17</f>
        <v>0.09</v>
      </c>
      <c r="F22" s="6"/>
      <c r="G22" s="6"/>
      <c r="H22" s="15">
        <f>(H17+H19+H20+H21)*(E22/12)*C22</f>
        <v>6.48</v>
      </c>
      <c r="J22" s="9" t="s">
        <v>105</v>
      </c>
      <c r="K22" s="2"/>
      <c r="L22" s="2"/>
      <c r="M22" s="25">
        <v>7000</v>
      </c>
    </row>
    <row r="23" spans="2:13">
      <c r="B23" s="9" t="s">
        <v>33</v>
      </c>
      <c r="C23" s="2">
        <v>5</v>
      </c>
      <c r="D23" s="2" t="s">
        <v>49</v>
      </c>
      <c r="E23" s="3">
        <f>Assumptions!C16</f>
        <v>14</v>
      </c>
      <c r="F23" s="2" t="s">
        <v>39</v>
      </c>
      <c r="G23" s="2"/>
      <c r="H23" s="16">
        <f>C23*E23</f>
        <v>70</v>
      </c>
      <c r="J23" s="8" t="s">
        <v>78</v>
      </c>
      <c r="K23" s="6"/>
      <c r="L23" s="6"/>
      <c r="M23" s="26">
        <f>SUM(M19:M22)</f>
        <v>16500</v>
      </c>
    </row>
    <row r="24" spans="2:13">
      <c r="B24" s="8" t="s">
        <v>51</v>
      </c>
      <c r="C24" s="6"/>
      <c r="D24" s="6"/>
      <c r="E24" s="6"/>
      <c r="F24" s="6"/>
      <c r="G24" s="6"/>
      <c r="H24" s="15">
        <f>SUM(H17,H19,H20,H21,H22,H23)</f>
        <v>220.48</v>
      </c>
      <c r="J24" s="5"/>
      <c r="K24" s="6"/>
      <c r="L24" s="6"/>
      <c r="M24" s="7"/>
    </row>
    <row r="25" spans="2:13">
      <c r="B25" s="5"/>
      <c r="C25" s="6"/>
      <c r="D25" s="6"/>
      <c r="E25" s="6"/>
      <c r="F25" s="6"/>
      <c r="G25" s="6"/>
      <c r="H25" s="12"/>
      <c r="J25" s="8" t="s">
        <v>97</v>
      </c>
      <c r="K25" s="6"/>
      <c r="L25" s="6"/>
      <c r="M25" s="26">
        <f>M23/150</f>
        <v>110</v>
      </c>
    </row>
    <row r="26" spans="2:13">
      <c r="B26" s="8" t="s">
        <v>52</v>
      </c>
      <c r="C26" s="6"/>
      <c r="D26" s="6"/>
      <c r="E26" s="6"/>
      <c r="F26" s="6"/>
      <c r="G26" s="6"/>
      <c r="H26" s="12"/>
      <c r="J26" s="8"/>
      <c r="K26" s="6"/>
      <c r="L26" s="6"/>
      <c r="M26" s="7"/>
    </row>
    <row r="27" spans="2:13">
      <c r="B27" s="5" t="s">
        <v>53</v>
      </c>
      <c r="C27" s="6"/>
      <c r="D27" s="6"/>
      <c r="E27" s="6"/>
      <c r="F27" s="6"/>
      <c r="G27" s="6"/>
      <c r="H27" s="15">
        <f>M27</f>
        <v>15.400000000000002</v>
      </c>
      <c r="J27" s="13" t="s">
        <v>181</v>
      </c>
      <c r="K27" s="6"/>
      <c r="L27" s="6"/>
      <c r="M27" s="26">
        <f>M25*0.14</f>
        <v>15.400000000000002</v>
      </c>
    </row>
    <row r="28" spans="2:13" ht="15" thickBot="1">
      <c r="B28" s="13" t="s">
        <v>113</v>
      </c>
      <c r="C28" s="6"/>
      <c r="D28" s="6"/>
      <c r="E28" s="6"/>
      <c r="F28" s="6"/>
      <c r="G28" s="6"/>
      <c r="H28" s="15">
        <f>M8*0.1</f>
        <v>15.9</v>
      </c>
      <c r="J28" s="234"/>
      <c r="K28" s="235"/>
      <c r="L28" s="235"/>
      <c r="M28" s="236"/>
    </row>
    <row r="29" spans="2:13" ht="15" thickTop="1">
      <c r="B29" s="9" t="s">
        <v>112</v>
      </c>
      <c r="C29" s="2"/>
      <c r="D29" s="2"/>
      <c r="E29" s="2"/>
      <c r="F29" s="2"/>
      <c r="G29" s="2"/>
      <c r="H29" s="16">
        <f>M15</f>
        <v>5.6</v>
      </c>
    </row>
    <row r="30" spans="2:13" ht="15" thickBot="1">
      <c r="B30" s="17" t="s">
        <v>56</v>
      </c>
      <c r="C30" s="4"/>
      <c r="D30" s="4"/>
      <c r="E30" s="4"/>
      <c r="F30" s="4"/>
      <c r="G30" s="4"/>
      <c r="H30" s="18">
        <f>SUM(H27:H29)</f>
        <v>36.900000000000006</v>
      </c>
      <c r="J30" t="s">
        <v>264</v>
      </c>
      <c r="M30">
        <f>100*((H32-H7-H8)/(1.24*C6))</f>
        <v>146.6</v>
      </c>
    </row>
    <row r="31" spans="2:13" ht="15" thickTop="1">
      <c r="B31" s="5"/>
      <c r="C31" s="6"/>
      <c r="D31" s="6"/>
      <c r="E31" s="6"/>
      <c r="F31" s="6"/>
      <c r="G31" s="6"/>
      <c r="H31" s="12"/>
      <c r="J31" t="s">
        <v>265</v>
      </c>
      <c r="M31" s="50">
        <f>M30-E6</f>
        <v>-4.1100000000000136</v>
      </c>
    </row>
    <row r="32" spans="2:13">
      <c r="B32" s="8" t="s">
        <v>57</v>
      </c>
      <c r="C32" s="6"/>
      <c r="D32" s="6"/>
      <c r="E32" s="6"/>
      <c r="F32" s="6"/>
      <c r="G32" s="6"/>
      <c r="H32" s="15">
        <f>H24+H30</f>
        <v>257.38</v>
      </c>
    </row>
    <row r="33" spans="2:8">
      <c r="B33" s="5"/>
      <c r="C33" s="6"/>
      <c r="D33" s="6"/>
      <c r="E33" s="6"/>
      <c r="F33" s="6"/>
      <c r="G33" s="6"/>
      <c r="H33" s="7"/>
    </row>
    <row r="34" spans="2:8">
      <c r="B34" s="8" t="s">
        <v>268</v>
      </c>
      <c r="C34" s="6"/>
      <c r="D34" s="6"/>
      <c r="E34" s="6"/>
      <c r="F34" s="6"/>
      <c r="G34" s="6"/>
      <c r="H34" s="19">
        <f>H9-H32</f>
        <v>6.3705000000000496</v>
      </c>
    </row>
    <row r="35" spans="2:8">
      <c r="B35" s="5"/>
      <c r="C35" s="6"/>
      <c r="D35" s="6"/>
      <c r="E35" s="6"/>
      <c r="F35" s="6"/>
      <c r="G35" s="6"/>
      <c r="H35" s="7"/>
    </row>
    <row r="36" spans="2:8">
      <c r="B36" s="231" t="s">
        <v>114</v>
      </c>
      <c r="C36" s="232"/>
      <c r="D36" s="232"/>
      <c r="E36" s="232"/>
      <c r="F36" s="232"/>
      <c r="G36" s="232"/>
      <c r="H36" s="233"/>
    </row>
    <row r="37" spans="2:8" ht="15" thickBot="1">
      <c r="B37" s="234"/>
      <c r="C37" s="235"/>
      <c r="D37" s="235"/>
      <c r="E37" s="235"/>
      <c r="F37" s="235"/>
      <c r="G37" s="235"/>
      <c r="H37" s="236"/>
    </row>
    <row r="38" spans="2:8" ht="15" thickTop="1"/>
  </sheetData>
  <mergeCells count="7">
    <mergeCell ref="B2:H2"/>
    <mergeCell ref="C4:D4"/>
    <mergeCell ref="E4:F4"/>
    <mergeCell ref="B36:H37"/>
    <mergeCell ref="J2:M2"/>
    <mergeCell ref="K4:L4"/>
    <mergeCell ref="J28:M28"/>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workbookViewId="0">
      <selection activeCell="G23" sqref="G23"/>
    </sheetView>
  </sheetViews>
  <sheetFormatPr baseColWidth="10" defaultColWidth="8.83203125" defaultRowHeight="14" x14ac:dyDescent="0"/>
  <cols>
    <col min="2" max="2" width="39" customWidth="1"/>
    <col min="5" max="5" width="11.5" bestFit="1" customWidth="1"/>
  </cols>
  <sheetData>
    <row r="1" spans="2:5" ht="15" thickBot="1"/>
    <row r="2" spans="2:5" ht="20" thickTop="1" thickBot="1">
      <c r="B2" s="228" t="s">
        <v>106</v>
      </c>
      <c r="C2" s="229"/>
      <c r="D2" s="229"/>
      <c r="E2" s="230"/>
    </row>
    <row r="3" spans="2:5" ht="15" thickTop="1">
      <c r="B3" s="5"/>
      <c r="C3" s="6"/>
      <c r="D3" s="6"/>
      <c r="E3" s="7"/>
    </row>
    <row r="4" spans="2:5">
      <c r="B4" s="8" t="s">
        <v>101</v>
      </c>
      <c r="C4" s="237"/>
      <c r="D4" s="237"/>
      <c r="E4" s="23"/>
    </row>
    <row r="5" spans="2:5">
      <c r="B5" s="13" t="s">
        <v>96</v>
      </c>
      <c r="C5" s="6"/>
      <c r="D5" s="6"/>
      <c r="E5" s="24">
        <v>125</v>
      </c>
    </row>
    <row r="6" spans="2:5">
      <c r="B6" s="5" t="s">
        <v>120</v>
      </c>
      <c r="C6" s="6"/>
      <c r="D6" s="6"/>
      <c r="E6" s="24">
        <v>20</v>
      </c>
    </row>
    <row r="7" spans="2:5">
      <c r="B7" s="22" t="s">
        <v>119</v>
      </c>
      <c r="C7" s="2"/>
      <c r="D7" s="2"/>
      <c r="E7" s="25">
        <v>14</v>
      </c>
    </row>
    <row r="8" spans="2:5">
      <c r="B8" s="8" t="s">
        <v>97</v>
      </c>
      <c r="C8" s="6"/>
      <c r="D8" s="6"/>
      <c r="E8" s="26">
        <f>SUM(E5:E7)</f>
        <v>159</v>
      </c>
    </row>
    <row r="9" spans="2:5">
      <c r="B9" s="8"/>
      <c r="C9" s="6"/>
      <c r="D9" s="6"/>
      <c r="E9" s="7"/>
    </row>
    <row r="10" spans="2:5">
      <c r="B10" s="8" t="s">
        <v>127</v>
      </c>
      <c r="C10" s="6"/>
      <c r="D10" s="6"/>
      <c r="E10" s="24"/>
    </row>
    <row r="11" spans="2:5">
      <c r="B11" s="13" t="s">
        <v>98</v>
      </c>
      <c r="C11" s="6"/>
      <c r="D11" s="6"/>
      <c r="E11" s="24">
        <v>350</v>
      </c>
    </row>
    <row r="12" spans="2:5">
      <c r="B12" s="5" t="s">
        <v>69</v>
      </c>
      <c r="C12" s="6"/>
      <c r="D12" s="6"/>
      <c r="E12" s="24">
        <v>70</v>
      </c>
    </row>
    <row r="13" spans="2:5">
      <c r="B13" s="5" t="s">
        <v>99</v>
      </c>
      <c r="C13" s="6"/>
      <c r="D13" s="6"/>
      <c r="E13" s="27">
        <v>25</v>
      </c>
    </row>
    <row r="14" spans="2:5">
      <c r="B14" s="9" t="s">
        <v>71</v>
      </c>
      <c r="C14" s="2"/>
      <c r="D14" s="2"/>
      <c r="E14" s="28">
        <v>2</v>
      </c>
    </row>
    <row r="15" spans="2:5">
      <c r="B15" s="8" t="s">
        <v>97</v>
      </c>
      <c r="C15" s="6"/>
      <c r="D15" s="6"/>
      <c r="E15" s="24">
        <f>((E11-E12)/E13)/E14</f>
        <v>5.6</v>
      </c>
    </row>
    <row r="16" spans="2:5">
      <c r="B16" s="5"/>
      <c r="C16" s="6"/>
      <c r="D16" s="6"/>
      <c r="E16" s="7"/>
    </row>
    <row r="17" spans="2:5">
      <c r="B17" s="8" t="s">
        <v>79</v>
      </c>
      <c r="C17" s="6"/>
      <c r="D17" s="6"/>
      <c r="E17" s="7"/>
    </row>
    <row r="18" spans="2:5">
      <c r="B18" s="13" t="s">
        <v>100</v>
      </c>
      <c r="C18" s="6"/>
      <c r="D18" s="6"/>
      <c r="E18" s="7"/>
    </row>
    <row r="19" spans="2:5">
      <c r="B19" s="5" t="s">
        <v>102</v>
      </c>
      <c r="C19" s="6"/>
      <c r="D19" s="6"/>
      <c r="E19" s="24">
        <v>4500</v>
      </c>
    </row>
    <row r="20" spans="2:5">
      <c r="B20" s="5" t="s">
        <v>103</v>
      </c>
      <c r="C20" s="6"/>
      <c r="D20" s="6"/>
      <c r="E20" s="24">
        <v>3000</v>
      </c>
    </row>
    <row r="21" spans="2:5">
      <c r="B21" s="5" t="s">
        <v>104</v>
      </c>
      <c r="C21" s="6"/>
      <c r="D21" s="6"/>
      <c r="E21" s="24">
        <v>2000</v>
      </c>
    </row>
    <row r="22" spans="2:5">
      <c r="B22" s="9" t="s">
        <v>105</v>
      </c>
      <c r="C22" s="2"/>
      <c r="D22" s="2"/>
      <c r="E22" s="25">
        <v>7000</v>
      </c>
    </row>
    <row r="23" spans="2:5">
      <c r="B23" s="8" t="s">
        <v>78</v>
      </c>
      <c r="C23" s="6"/>
      <c r="D23" s="6"/>
      <c r="E23" s="26">
        <f>SUM(E19:E22)</f>
        <v>16500</v>
      </c>
    </row>
    <row r="24" spans="2:5">
      <c r="B24" s="5"/>
      <c r="C24" s="6"/>
      <c r="D24" s="6"/>
      <c r="E24" s="7"/>
    </row>
    <row r="25" spans="2:5">
      <c r="B25" s="8" t="s">
        <v>97</v>
      </c>
      <c r="C25" s="6"/>
      <c r="D25" s="6"/>
      <c r="E25" s="26">
        <f>E23/150</f>
        <v>110</v>
      </c>
    </row>
    <row r="26" spans="2:5">
      <c r="B26" s="8"/>
      <c r="C26" s="6"/>
      <c r="D26" s="6"/>
      <c r="E26" s="7"/>
    </row>
    <row r="27" spans="2:5">
      <c r="B27" s="13" t="s">
        <v>181</v>
      </c>
      <c r="C27" s="6"/>
      <c r="D27" s="6"/>
      <c r="E27" s="26">
        <f>E25*0.14</f>
        <v>15.400000000000002</v>
      </c>
    </row>
    <row r="28" spans="2:5" ht="15" thickBot="1">
      <c r="B28" s="234"/>
      <c r="C28" s="235"/>
      <c r="D28" s="235"/>
      <c r="E28" s="236"/>
    </row>
    <row r="29" spans="2:5" ht="15" thickTop="1"/>
  </sheetData>
  <mergeCells count="3">
    <mergeCell ref="B2:E2"/>
    <mergeCell ref="C4:D4"/>
    <mergeCell ref="B28:E28"/>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1"/>
  <sheetViews>
    <sheetView topLeftCell="B1" workbookViewId="0">
      <selection activeCell="J2" sqref="J2:M28"/>
    </sheetView>
  </sheetViews>
  <sheetFormatPr baseColWidth="10" defaultColWidth="8.83203125" defaultRowHeight="14" x14ac:dyDescent="0"/>
  <cols>
    <col min="2" max="2" width="37.5" bestFit="1" customWidth="1"/>
    <col min="5" max="5" width="9.5" bestFit="1" customWidth="1"/>
    <col min="8" max="8" width="11" bestFit="1" customWidth="1"/>
    <col min="10" max="10" width="38" customWidth="1"/>
    <col min="13" max="13" width="12.33203125" customWidth="1"/>
  </cols>
  <sheetData>
    <row r="1" spans="2:13" ht="15" thickBot="1"/>
    <row r="2" spans="2:13" ht="20" thickTop="1" thickBot="1">
      <c r="B2" s="228" t="s">
        <v>107</v>
      </c>
      <c r="C2" s="229"/>
      <c r="D2" s="229"/>
      <c r="E2" s="229"/>
      <c r="F2" s="229"/>
      <c r="G2" s="229"/>
      <c r="H2" s="230"/>
      <c r="J2" s="228" t="s">
        <v>129</v>
      </c>
      <c r="K2" s="229"/>
      <c r="L2" s="229"/>
      <c r="M2" s="230"/>
    </row>
    <row r="3" spans="2:13" ht="15" thickTop="1">
      <c r="B3" s="5"/>
      <c r="C3" s="6"/>
      <c r="D3" s="6"/>
      <c r="E3" s="6"/>
      <c r="F3" s="6"/>
      <c r="G3" s="6"/>
      <c r="H3" s="7"/>
      <c r="J3" s="5"/>
      <c r="K3" s="6"/>
      <c r="L3" s="6"/>
      <c r="M3" s="7"/>
    </row>
    <row r="4" spans="2:13">
      <c r="B4" s="5"/>
      <c r="C4" s="237" t="s">
        <v>12</v>
      </c>
      <c r="D4" s="237"/>
      <c r="E4" s="237" t="s">
        <v>16</v>
      </c>
      <c r="F4" s="237"/>
      <c r="G4" s="6"/>
      <c r="H4" s="7" t="s">
        <v>27</v>
      </c>
      <c r="J4" s="8" t="s">
        <v>116</v>
      </c>
      <c r="K4" s="237"/>
      <c r="L4" s="237"/>
      <c r="M4" s="23"/>
    </row>
    <row r="5" spans="2:13">
      <c r="B5" s="8" t="s">
        <v>13</v>
      </c>
      <c r="C5" s="6"/>
      <c r="D5" s="6"/>
      <c r="E5" s="6"/>
      <c r="F5" s="6"/>
      <c r="G5" s="6"/>
      <c r="H5" s="7"/>
      <c r="J5" s="13" t="s">
        <v>117</v>
      </c>
      <c r="K5" s="6"/>
      <c r="L5" s="6"/>
      <c r="M5" s="24">
        <v>125</v>
      </c>
    </row>
    <row r="6" spans="2:13">
      <c r="B6" s="5" t="s">
        <v>108</v>
      </c>
      <c r="C6" s="6">
        <v>80</v>
      </c>
      <c r="D6" s="6" t="s">
        <v>14</v>
      </c>
      <c r="E6" s="14">
        <f>Assumptions!C25</f>
        <v>169.67</v>
      </c>
      <c r="F6" s="6" t="s">
        <v>15</v>
      </c>
      <c r="G6" s="6"/>
      <c r="H6" s="11">
        <f>(C6*(E6/100))*1.53</f>
        <v>207.67607999999998</v>
      </c>
      <c r="J6" s="5" t="s">
        <v>118</v>
      </c>
      <c r="K6" s="6"/>
      <c r="L6" s="6"/>
      <c r="M6" s="24">
        <v>20</v>
      </c>
    </row>
    <row r="7" spans="2:13">
      <c r="B7" s="9" t="s">
        <v>109</v>
      </c>
      <c r="C7" s="2">
        <v>150</v>
      </c>
      <c r="D7" s="2" t="s">
        <v>14</v>
      </c>
      <c r="E7" s="3">
        <f>Assumptions!C30</f>
        <v>100</v>
      </c>
      <c r="F7" s="2" t="s">
        <v>15</v>
      </c>
      <c r="G7" s="2"/>
      <c r="H7" s="10">
        <f>(C7*(E7/100))*0.2</f>
        <v>30</v>
      </c>
      <c r="J7" s="22" t="s">
        <v>128</v>
      </c>
      <c r="K7" s="2"/>
      <c r="L7" s="2"/>
      <c r="M7" s="25">
        <v>9</v>
      </c>
    </row>
    <row r="8" spans="2:13">
      <c r="B8" s="8" t="s">
        <v>28</v>
      </c>
      <c r="C8" s="6"/>
      <c r="D8" s="6"/>
      <c r="E8" s="6"/>
      <c r="F8" s="6"/>
      <c r="G8" s="6"/>
      <c r="H8" s="11">
        <f>SUM(H6:H7)</f>
        <v>237.67607999999998</v>
      </c>
      <c r="J8" s="8" t="s">
        <v>121</v>
      </c>
      <c r="K8" s="6"/>
      <c r="L8" s="6"/>
      <c r="M8" s="26">
        <f>SUM(M5:M7)</f>
        <v>154</v>
      </c>
    </row>
    <row r="9" spans="2:13">
      <c r="B9" s="5"/>
      <c r="C9" s="6"/>
      <c r="D9" s="6"/>
      <c r="E9" s="6"/>
      <c r="F9" s="6"/>
      <c r="G9" s="6"/>
      <c r="H9" s="11"/>
      <c r="J9" s="8"/>
      <c r="K9" s="6"/>
      <c r="L9" s="6"/>
      <c r="M9" s="7"/>
    </row>
    <row r="10" spans="2:13">
      <c r="B10" s="8" t="s">
        <v>17</v>
      </c>
      <c r="C10" s="6"/>
      <c r="D10" s="6"/>
      <c r="E10" s="6"/>
      <c r="F10" s="6"/>
      <c r="G10" s="6"/>
      <c r="H10" s="12"/>
      <c r="J10" s="8" t="s">
        <v>263</v>
      </c>
      <c r="K10" s="6"/>
      <c r="L10" s="6"/>
      <c r="M10" s="24"/>
    </row>
    <row r="11" spans="2:13">
      <c r="B11" s="13" t="s">
        <v>18</v>
      </c>
      <c r="C11" s="6"/>
      <c r="D11" s="6"/>
      <c r="E11" s="6"/>
      <c r="F11" s="6"/>
      <c r="G11" s="6"/>
      <c r="H11" s="12"/>
      <c r="J11" s="13" t="s">
        <v>123</v>
      </c>
      <c r="K11" s="6"/>
      <c r="L11" s="6"/>
      <c r="M11" s="24">
        <v>300</v>
      </c>
    </row>
    <row r="12" spans="2:13">
      <c r="B12" s="5" t="s">
        <v>1</v>
      </c>
      <c r="C12" s="6">
        <v>0.3</v>
      </c>
      <c r="D12" s="6" t="s">
        <v>19</v>
      </c>
      <c r="E12" s="14">
        <f>Assumptions!C13</f>
        <v>35</v>
      </c>
      <c r="F12" s="6" t="s">
        <v>38</v>
      </c>
      <c r="G12" s="6"/>
      <c r="H12" s="15">
        <f>C12*E12</f>
        <v>10.5</v>
      </c>
      <c r="J12" s="5" t="s">
        <v>69</v>
      </c>
      <c r="K12" s="6"/>
      <c r="L12" s="6"/>
      <c r="M12" s="24">
        <v>100</v>
      </c>
    </row>
    <row r="13" spans="2:13">
      <c r="B13" s="5" t="s">
        <v>20</v>
      </c>
      <c r="C13" s="6">
        <v>0.3</v>
      </c>
      <c r="D13" s="6" t="s">
        <v>19</v>
      </c>
      <c r="E13" s="14">
        <f>Assumptions!C14</f>
        <v>20</v>
      </c>
      <c r="F13" s="6" t="s">
        <v>38</v>
      </c>
      <c r="G13" s="6"/>
      <c r="H13" s="15">
        <f t="shared" ref="H13:H19" si="0">C13*E13</f>
        <v>6</v>
      </c>
      <c r="J13" s="5" t="s">
        <v>124</v>
      </c>
      <c r="K13" s="6"/>
      <c r="L13" s="6"/>
      <c r="M13" s="27">
        <v>33</v>
      </c>
    </row>
    <row r="14" spans="2:13">
      <c r="B14" s="5" t="s">
        <v>2</v>
      </c>
      <c r="C14" s="6">
        <v>3.27</v>
      </c>
      <c r="D14" s="6" t="s">
        <v>21</v>
      </c>
      <c r="E14" s="14">
        <f>Assumptions!C5</f>
        <v>5.5</v>
      </c>
      <c r="F14" s="6" t="s">
        <v>21</v>
      </c>
      <c r="G14" s="6"/>
      <c r="H14" s="15">
        <f t="shared" si="0"/>
        <v>17.984999999999999</v>
      </c>
      <c r="J14" s="9" t="s">
        <v>71</v>
      </c>
      <c r="K14" s="2"/>
      <c r="L14" s="2"/>
      <c r="M14" s="28">
        <v>2</v>
      </c>
    </row>
    <row r="15" spans="2:13">
      <c r="B15" s="5" t="s">
        <v>115</v>
      </c>
      <c r="C15" s="6">
        <v>0.17</v>
      </c>
      <c r="D15" s="6" t="s">
        <v>15</v>
      </c>
      <c r="E15" s="14">
        <f>Assumptions!C6</f>
        <v>19.760000000000002</v>
      </c>
      <c r="F15" s="6" t="s">
        <v>15</v>
      </c>
      <c r="G15" s="6"/>
      <c r="H15" s="15">
        <f>C15*E15</f>
        <v>3.3592000000000004</v>
      </c>
      <c r="J15" s="8" t="s">
        <v>121</v>
      </c>
      <c r="K15" s="6"/>
      <c r="L15" s="6"/>
      <c r="M15" s="24">
        <f>((M11-M12)/M13)/M14</f>
        <v>3.0303030303030303</v>
      </c>
    </row>
    <row r="16" spans="2:13">
      <c r="B16" s="5" t="s">
        <v>4</v>
      </c>
      <c r="C16" s="6">
        <v>0.2</v>
      </c>
      <c r="D16" s="6" t="s">
        <v>15</v>
      </c>
      <c r="E16" s="14">
        <f>Assumptions!C7</f>
        <v>22</v>
      </c>
      <c r="F16" s="6" t="s">
        <v>15</v>
      </c>
      <c r="G16" s="6"/>
      <c r="H16" s="15">
        <f>C16*E16</f>
        <v>4.4000000000000004</v>
      </c>
      <c r="J16" s="5"/>
      <c r="K16" s="6"/>
      <c r="L16" s="6"/>
      <c r="M16" s="7"/>
    </row>
    <row r="17" spans="2:13">
      <c r="B17" s="5" t="s">
        <v>23</v>
      </c>
      <c r="C17" s="6">
        <v>0.09</v>
      </c>
      <c r="D17" s="6" t="s">
        <v>24</v>
      </c>
      <c r="E17" s="14">
        <f>Assumptions!C9</f>
        <v>150</v>
      </c>
      <c r="F17" s="6" t="s">
        <v>36</v>
      </c>
      <c r="G17" s="6"/>
      <c r="H17" s="15">
        <f>C17*E17</f>
        <v>13.5</v>
      </c>
      <c r="J17" s="8" t="s">
        <v>79</v>
      </c>
      <c r="K17" s="6"/>
      <c r="L17" s="6"/>
      <c r="M17" s="7"/>
    </row>
    <row r="18" spans="2:13">
      <c r="B18" s="5" t="s">
        <v>6</v>
      </c>
      <c r="C18" s="6">
        <v>2.0099999999999998</v>
      </c>
      <c r="D18" s="6" t="s">
        <v>15</v>
      </c>
      <c r="E18" s="14">
        <f>Assumptions!C10</f>
        <v>1.4</v>
      </c>
      <c r="F18" s="6" t="s">
        <v>15</v>
      </c>
      <c r="G18" s="6"/>
      <c r="H18" s="15">
        <f>C18*E18</f>
        <v>2.8139999999999996</v>
      </c>
      <c r="J18" s="13" t="s">
        <v>125</v>
      </c>
      <c r="K18" s="6"/>
      <c r="L18" s="6"/>
      <c r="M18" s="7"/>
    </row>
    <row r="19" spans="2:13">
      <c r="B19" s="9" t="s">
        <v>7</v>
      </c>
      <c r="C19" s="2">
        <v>0.01</v>
      </c>
      <c r="D19" s="2" t="s">
        <v>15</v>
      </c>
      <c r="E19" s="3">
        <f>Assumptions!C11</f>
        <v>2.5</v>
      </c>
      <c r="F19" s="2" t="s">
        <v>15</v>
      </c>
      <c r="G19" s="2"/>
      <c r="H19" s="16">
        <f t="shared" si="0"/>
        <v>2.5000000000000001E-2</v>
      </c>
      <c r="J19" s="5" t="s">
        <v>126</v>
      </c>
      <c r="K19" s="6"/>
      <c r="L19" s="6"/>
      <c r="M19" s="24">
        <v>4500</v>
      </c>
    </row>
    <row r="20" spans="2:13">
      <c r="B20" s="5" t="s">
        <v>26</v>
      </c>
      <c r="C20" s="6"/>
      <c r="D20" s="6"/>
      <c r="E20" s="6"/>
      <c r="F20" s="6"/>
      <c r="G20" s="6"/>
      <c r="H20" s="11">
        <f>SUM(H12:H19)</f>
        <v>58.583199999999998</v>
      </c>
      <c r="J20" s="5" t="s">
        <v>103</v>
      </c>
      <c r="K20" s="6"/>
      <c r="L20" s="6"/>
      <c r="M20" s="24">
        <v>3000</v>
      </c>
    </row>
    <row r="21" spans="2:13">
      <c r="B21" s="5"/>
      <c r="C21" s="6"/>
      <c r="D21" s="6"/>
      <c r="E21" s="6"/>
      <c r="F21" s="6"/>
      <c r="G21" s="6"/>
      <c r="H21" s="12"/>
      <c r="J21" s="5" t="s">
        <v>104</v>
      </c>
      <c r="K21" s="6"/>
      <c r="L21" s="6"/>
      <c r="M21" s="24">
        <v>2000</v>
      </c>
    </row>
    <row r="22" spans="2:13">
      <c r="B22" s="5" t="s">
        <v>29</v>
      </c>
      <c r="C22" s="6"/>
      <c r="D22" s="6"/>
      <c r="E22" s="6"/>
      <c r="F22" s="6"/>
      <c r="G22" s="6"/>
      <c r="H22" s="15">
        <v>8.08</v>
      </c>
      <c r="J22" s="9" t="s">
        <v>105</v>
      </c>
      <c r="K22" s="2"/>
      <c r="L22" s="2"/>
      <c r="M22" s="25">
        <v>7000</v>
      </c>
    </row>
    <row r="23" spans="2:13">
      <c r="B23" s="5" t="s">
        <v>83</v>
      </c>
      <c r="C23" s="6"/>
      <c r="D23" s="6"/>
      <c r="E23" s="6"/>
      <c r="F23" s="6"/>
      <c r="G23" s="6"/>
      <c r="H23" s="15">
        <v>3</v>
      </c>
      <c r="J23" s="8" t="s">
        <v>78</v>
      </c>
      <c r="K23" s="6"/>
      <c r="L23" s="6"/>
      <c r="M23" s="26">
        <f>SUM(M19:M22)</f>
        <v>16500</v>
      </c>
    </row>
    <row r="24" spans="2:13">
      <c r="B24" s="5" t="s">
        <v>85</v>
      </c>
      <c r="C24" s="6"/>
      <c r="D24" s="6"/>
      <c r="E24" s="6"/>
      <c r="F24" s="6"/>
      <c r="G24" s="6"/>
      <c r="H24" s="15">
        <v>6.35</v>
      </c>
      <c r="J24" s="5"/>
      <c r="K24" s="6"/>
      <c r="L24" s="6"/>
      <c r="M24" s="7"/>
    </row>
    <row r="25" spans="2:13">
      <c r="B25" s="5" t="s">
        <v>84</v>
      </c>
      <c r="C25" s="6"/>
      <c r="D25" s="6"/>
      <c r="E25" s="6"/>
      <c r="F25" s="6"/>
      <c r="G25" s="6"/>
      <c r="H25" s="15">
        <v>5.48</v>
      </c>
      <c r="J25" s="8" t="s">
        <v>121</v>
      </c>
      <c r="K25" s="6"/>
      <c r="L25" s="6"/>
      <c r="M25" s="26">
        <f>M23/100</f>
        <v>165</v>
      </c>
    </row>
    <row r="26" spans="2:13">
      <c r="B26" s="5" t="s">
        <v>32</v>
      </c>
      <c r="C26" s="6">
        <v>6</v>
      </c>
      <c r="D26" s="6" t="s">
        <v>48</v>
      </c>
      <c r="E26" s="34">
        <f>Assumptions!C17</f>
        <v>0.09</v>
      </c>
      <c r="F26" s="6"/>
      <c r="G26" s="6"/>
      <c r="H26" s="15">
        <f>(H20+H25+H22+H23+H24)*(E26/12)*C26</f>
        <v>3.6671939999999994</v>
      </c>
      <c r="J26" s="8"/>
      <c r="K26" s="6"/>
      <c r="L26" s="6"/>
      <c r="M26" s="7"/>
    </row>
    <row r="27" spans="2:13">
      <c r="B27" s="9" t="s">
        <v>33</v>
      </c>
      <c r="C27" s="2">
        <v>2</v>
      </c>
      <c r="D27" s="2" t="s">
        <v>49</v>
      </c>
      <c r="E27" s="3">
        <f>Assumptions!C16</f>
        <v>14</v>
      </c>
      <c r="F27" s="2" t="s">
        <v>39</v>
      </c>
      <c r="G27" s="2"/>
      <c r="H27" s="16">
        <f>C27*E27</f>
        <v>28</v>
      </c>
      <c r="J27" s="13" t="s">
        <v>181</v>
      </c>
      <c r="K27" s="6"/>
      <c r="L27" s="6"/>
      <c r="M27" s="26">
        <f>M25*0.14</f>
        <v>23.1</v>
      </c>
    </row>
    <row r="28" spans="2:13" ht="15" thickBot="1">
      <c r="B28" s="8" t="s">
        <v>51</v>
      </c>
      <c r="C28" s="6"/>
      <c r="D28" s="6"/>
      <c r="E28" s="6"/>
      <c r="F28" s="6"/>
      <c r="G28" s="6"/>
      <c r="H28" s="15">
        <f>SUM(H20,H22,H23,H24,H26,H27,H25)</f>
        <v>113.160394</v>
      </c>
      <c r="J28" s="234"/>
      <c r="K28" s="235"/>
      <c r="L28" s="235"/>
      <c r="M28" s="236"/>
    </row>
    <row r="29" spans="2:13" ht="15" thickTop="1">
      <c r="B29" s="5"/>
      <c r="C29" s="6"/>
      <c r="D29" s="6"/>
      <c r="E29" s="6"/>
      <c r="F29" s="6"/>
      <c r="G29" s="6"/>
      <c r="H29" s="12"/>
    </row>
    <row r="30" spans="2:13">
      <c r="B30" s="8" t="s">
        <v>52</v>
      </c>
      <c r="C30" s="6"/>
      <c r="D30" s="6"/>
      <c r="E30" s="6"/>
      <c r="F30" s="6"/>
      <c r="G30" s="6"/>
      <c r="H30" s="12"/>
      <c r="J30" t="s">
        <v>266</v>
      </c>
      <c r="M30">
        <f>100*((H36-H7)/(1.53*C6))</f>
        <v>101.87148450188155</v>
      </c>
    </row>
    <row r="31" spans="2:13">
      <c r="B31" s="5" t="s">
        <v>53</v>
      </c>
      <c r="C31" s="6"/>
      <c r="D31" s="6"/>
      <c r="E31" s="6"/>
      <c r="F31" s="6"/>
      <c r="G31" s="6"/>
      <c r="H31" s="15">
        <f>M27</f>
        <v>23.1</v>
      </c>
      <c r="J31" t="s">
        <v>267</v>
      </c>
      <c r="M31" s="50">
        <f>M30-E6</f>
        <v>-67.798515498118434</v>
      </c>
    </row>
    <row r="32" spans="2:13">
      <c r="B32" s="13" t="s">
        <v>54</v>
      </c>
      <c r="C32" s="6"/>
      <c r="D32" s="6"/>
      <c r="E32" s="6"/>
      <c r="F32" s="6"/>
      <c r="G32" s="6"/>
      <c r="H32" s="15">
        <f>M8*0.1</f>
        <v>15.4</v>
      </c>
    </row>
    <row r="33" spans="2:8">
      <c r="B33" s="9" t="s">
        <v>111</v>
      </c>
      <c r="C33" s="2"/>
      <c r="D33" s="2"/>
      <c r="E33" s="2"/>
      <c r="F33" s="2"/>
      <c r="G33" s="2"/>
      <c r="H33" s="16">
        <f>M15</f>
        <v>3.0303030303030303</v>
      </c>
    </row>
    <row r="34" spans="2:8" ht="15" thickBot="1">
      <c r="B34" s="17" t="s">
        <v>56</v>
      </c>
      <c r="C34" s="4"/>
      <c r="D34" s="4"/>
      <c r="E34" s="4"/>
      <c r="F34" s="4"/>
      <c r="G34" s="4"/>
      <c r="H34" s="18">
        <f>SUM(H31:H33)</f>
        <v>41.530303030303031</v>
      </c>
    </row>
    <row r="35" spans="2:8" ht="15" thickTop="1">
      <c r="B35" s="5"/>
      <c r="C35" s="6"/>
      <c r="D35" s="6"/>
      <c r="E35" s="6"/>
      <c r="F35" s="6"/>
      <c r="G35" s="6"/>
      <c r="H35" s="12"/>
    </row>
    <row r="36" spans="2:8">
      <c r="B36" s="8" t="s">
        <v>57</v>
      </c>
      <c r="C36" s="6"/>
      <c r="D36" s="6"/>
      <c r="E36" s="6"/>
      <c r="F36" s="6"/>
      <c r="G36" s="6"/>
      <c r="H36" s="15">
        <f>H28+H34</f>
        <v>154.69069703030303</v>
      </c>
    </row>
    <row r="37" spans="2:8">
      <c r="B37" s="5"/>
      <c r="C37" s="6"/>
      <c r="D37" s="6"/>
      <c r="E37" s="6"/>
      <c r="F37" s="6"/>
      <c r="G37" s="6"/>
      <c r="H37" s="7"/>
    </row>
    <row r="38" spans="2:8">
      <c r="B38" s="8" t="s">
        <v>268</v>
      </c>
      <c r="C38" s="6"/>
      <c r="D38" s="6"/>
      <c r="E38" s="6"/>
      <c r="F38" s="6"/>
      <c r="G38" s="6"/>
      <c r="H38" s="19">
        <f>H8-H36</f>
        <v>82.985382969696957</v>
      </c>
    </row>
    <row r="39" spans="2:8">
      <c r="B39" s="231" t="s">
        <v>130</v>
      </c>
      <c r="C39" s="232"/>
      <c r="D39" s="232"/>
      <c r="E39" s="232"/>
      <c r="F39" s="232"/>
      <c r="G39" s="232"/>
      <c r="H39" s="233"/>
    </row>
    <row r="40" spans="2:8" ht="15" thickBot="1">
      <c r="B40" s="234"/>
      <c r="C40" s="235"/>
      <c r="D40" s="235"/>
      <c r="E40" s="235"/>
      <c r="F40" s="235"/>
      <c r="G40" s="235"/>
      <c r="H40" s="236"/>
    </row>
    <row r="41" spans="2:8" ht="15" thickTop="1"/>
  </sheetData>
  <mergeCells count="7">
    <mergeCell ref="B2:H2"/>
    <mergeCell ref="C4:D4"/>
    <mergeCell ref="E4:F4"/>
    <mergeCell ref="B39:H40"/>
    <mergeCell ref="J2:M2"/>
    <mergeCell ref="K4:L4"/>
    <mergeCell ref="J28:M28"/>
  </mergeCells>
  <pageMargins left="0.7" right="0.7" top="0.75" bottom="0.75" header="0.3" footer="0.3"/>
  <ignoredErrors>
    <ignoredError sqref="E18" formula="1"/>
  </ignoredError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workbookViewId="0">
      <selection activeCell="B2" sqref="B2:E28"/>
    </sheetView>
  </sheetViews>
  <sheetFormatPr baseColWidth="10" defaultColWidth="8.83203125" defaultRowHeight="14" x14ac:dyDescent="0"/>
  <cols>
    <col min="2" max="2" width="39.1640625" customWidth="1"/>
    <col min="5" max="5" width="11.5" bestFit="1" customWidth="1"/>
  </cols>
  <sheetData>
    <row r="1" spans="2:5" ht="15" thickBot="1"/>
    <row r="2" spans="2:5" ht="20" thickTop="1" thickBot="1">
      <c r="B2" s="228" t="s">
        <v>129</v>
      </c>
      <c r="C2" s="229"/>
      <c r="D2" s="229"/>
      <c r="E2" s="230"/>
    </row>
    <row r="3" spans="2:5" ht="15" thickTop="1">
      <c r="B3" s="5"/>
      <c r="C3" s="6"/>
      <c r="D3" s="6"/>
      <c r="E3" s="7"/>
    </row>
    <row r="4" spans="2:5">
      <c r="B4" s="8" t="s">
        <v>116</v>
      </c>
      <c r="C4" s="237"/>
      <c r="D4" s="237"/>
      <c r="E4" s="23"/>
    </row>
    <row r="5" spans="2:5">
      <c r="B5" s="13" t="s">
        <v>117</v>
      </c>
      <c r="C5" s="6"/>
      <c r="D5" s="6"/>
      <c r="E5" s="24">
        <v>125</v>
      </c>
    </row>
    <row r="6" spans="2:5">
      <c r="B6" s="5" t="s">
        <v>118</v>
      </c>
      <c r="C6" s="6"/>
      <c r="D6" s="6"/>
      <c r="E6" s="24">
        <v>20</v>
      </c>
    </row>
    <row r="7" spans="2:5">
      <c r="B7" s="22" t="s">
        <v>128</v>
      </c>
      <c r="C7" s="2"/>
      <c r="D7" s="2"/>
      <c r="E7" s="25">
        <v>9</v>
      </c>
    </row>
    <row r="8" spans="2:5">
      <c r="B8" s="8" t="s">
        <v>121</v>
      </c>
      <c r="C8" s="6"/>
      <c r="D8" s="6"/>
      <c r="E8" s="26">
        <f>SUM(E5:E7)</f>
        <v>154</v>
      </c>
    </row>
    <row r="9" spans="2:5">
      <c r="B9" s="8"/>
      <c r="C9" s="6"/>
      <c r="D9" s="6"/>
      <c r="E9" s="7"/>
    </row>
    <row r="10" spans="2:5">
      <c r="B10" s="8" t="s">
        <v>122</v>
      </c>
      <c r="C10" s="6"/>
      <c r="D10" s="6"/>
      <c r="E10" s="24"/>
    </row>
    <row r="11" spans="2:5">
      <c r="B11" s="13" t="s">
        <v>123</v>
      </c>
      <c r="C11" s="6"/>
      <c r="D11" s="6"/>
      <c r="E11" s="24">
        <v>300</v>
      </c>
    </row>
    <row r="12" spans="2:5">
      <c r="B12" s="5" t="s">
        <v>69</v>
      </c>
      <c r="C12" s="6"/>
      <c r="D12" s="6"/>
      <c r="E12" s="24">
        <v>100</v>
      </c>
    </row>
    <row r="13" spans="2:5">
      <c r="B13" s="5" t="s">
        <v>124</v>
      </c>
      <c r="C13" s="6"/>
      <c r="D13" s="6"/>
      <c r="E13" s="27">
        <v>33</v>
      </c>
    </row>
    <row r="14" spans="2:5">
      <c r="B14" s="9" t="s">
        <v>71</v>
      </c>
      <c r="C14" s="2"/>
      <c r="D14" s="2"/>
      <c r="E14" s="28">
        <v>2</v>
      </c>
    </row>
    <row r="15" spans="2:5">
      <c r="B15" s="8" t="s">
        <v>121</v>
      </c>
      <c r="C15" s="6"/>
      <c r="D15" s="6"/>
      <c r="E15" s="24">
        <f>((E11-E12)/E13)/E14</f>
        <v>3.0303030303030303</v>
      </c>
    </row>
    <row r="16" spans="2:5">
      <c r="B16" s="5"/>
      <c r="C16" s="6"/>
      <c r="D16" s="6"/>
      <c r="E16" s="7"/>
    </row>
    <row r="17" spans="2:5">
      <c r="B17" s="8" t="s">
        <v>79</v>
      </c>
      <c r="C17" s="6"/>
      <c r="D17" s="6"/>
      <c r="E17" s="7"/>
    </row>
    <row r="18" spans="2:5">
      <c r="B18" s="13" t="s">
        <v>125</v>
      </c>
      <c r="C18" s="6"/>
      <c r="D18" s="6"/>
      <c r="E18" s="7"/>
    </row>
    <row r="19" spans="2:5">
      <c r="B19" s="5" t="s">
        <v>126</v>
      </c>
      <c r="C19" s="6"/>
      <c r="D19" s="6"/>
      <c r="E19" s="24">
        <v>4500</v>
      </c>
    </row>
    <row r="20" spans="2:5">
      <c r="B20" s="5" t="s">
        <v>103</v>
      </c>
      <c r="C20" s="6"/>
      <c r="D20" s="6"/>
      <c r="E20" s="24">
        <v>3000</v>
      </c>
    </row>
    <row r="21" spans="2:5">
      <c r="B21" s="5" t="s">
        <v>104</v>
      </c>
      <c r="C21" s="6"/>
      <c r="D21" s="6"/>
      <c r="E21" s="24">
        <v>2000</v>
      </c>
    </row>
    <row r="22" spans="2:5">
      <c r="B22" s="9" t="s">
        <v>105</v>
      </c>
      <c r="C22" s="2"/>
      <c r="D22" s="2"/>
      <c r="E22" s="25">
        <v>7000</v>
      </c>
    </row>
    <row r="23" spans="2:5">
      <c r="B23" s="8" t="s">
        <v>78</v>
      </c>
      <c r="C23" s="6"/>
      <c r="D23" s="6"/>
      <c r="E23" s="26">
        <f>SUM(E19:E22)</f>
        <v>16500</v>
      </c>
    </row>
    <row r="24" spans="2:5">
      <c r="B24" s="5"/>
      <c r="C24" s="6"/>
      <c r="D24" s="6"/>
      <c r="E24" s="7"/>
    </row>
    <row r="25" spans="2:5">
      <c r="B25" s="8" t="s">
        <v>121</v>
      </c>
      <c r="C25" s="6"/>
      <c r="D25" s="6"/>
      <c r="E25" s="26">
        <f>E23/100</f>
        <v>165</v>
      </c>
    </row>
    <row r="26" spans="2:5">
      <c r="B26" s="8"/>
      <c r="C26" s="6"/>
      <c r="D26" s="6"/>
      <c r="E26" s="7"/>
    </row>
    <row r="27" spans="2:5">
      <c r="B27" s="13" t="s">
        <v>181</v>
      </c>
      <c r="C27" s="6"/>
      <c r="D27" s="6"/>
      <c r="E27" s="26">
        <f>E25*0.14</f>
        <v>23.1</v>
      </c>
    </row>
    <row r="28" spans="2:5" ht="15" thickBot="1">
      <c r="B28" s="234"/>
      <c r="C28" s="235"/>
      <c r="D28" s="235"/>
      <c r="E28" s="236"/>
    </row>
    <row r="29" spans="2:5" ht="15" thickTop="1"/>
  </sheetData>
  <mergeCells count="3">
    <mergeCell ref="B2:E2"/>
    <mergeCell ref="C4:D4"/>
    <mergeCell ref="B28:E28"/>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workbookViewId="0">
      <selection activeCell="J2" sqref="J2:M12"/>
    </sheetView>
  </sheetViews>
  <sheetFormatPr baseColWidth="10" defaultColWidth="8.83203125" defaultRowHeight="14" x14ac:dyDescent="0"/>
  <cols>
    <col min="2" max="2" width="31.5" bestFit="1" customWidth="1"/>
    <col min="8" max="8" width="9.83203125" bestFit="1" customWidth="1"/>
    <col min="10" max="10" width="34.5" customWidth="1"/>
    <col min="13" max="13" width="10.5" bestFit="1" customWidth="1"/>
  </cols>
  <sheetData>
    <row r="1" spans="2:13" ht="15" thickBot="1"/>
    <row r="2" spans="2:13" ht="20" thickTop="1" thickBot="1">
      <c r="B2" s="228" t="s">
        <v>136</v>
      </c>
      <c r="C2" s="229"/>
      <c r="D2" s="229"/>
      <c r="E2" s="229"/>
      <c r="F2" s="229"/>
      <c r="G2" s="229"/>
      <c r="H2" s="230"/>
      <c r="J2" s="228" t="s">
        <v>142</v>
      </c>
      <c r="K2" s="229"/>
      <c r="L2" s="229"/>
      <c r="M2" s="230"/>
    </row>
    <row r="3" spans="2:13" ht="15" thickTop="1">
      <c r="B3" s="5"/>
      <c r="C3" s="6"/>
      <c r="D3" s="6"/>
      <c r="E3" s="6"/>
      <c r="F3" s="6"/>
      <c r="G3" s="6"/>
      <c r="H3" s="7"/>
      <c r="J3" s="5"/>
      <c r="K3" s="6"/>
      <c r="L3" s="6"/>
      <c r="M3" s="7"/>
    </row>
    <row r="4" spans="2:13">
      <c r="B4" s="5"/>
      <c r="C4" s="237" t="s">
        <v>12</v>
      </c>
      <c r="D4" s="237"/>
      <c r="E4" s="237" t="s">
        <v>16</v>
      </c>
      <c r="F4" s="237"/>
      <c r="G4" s="6"/>
      <c r="H4" s="7" t="s">
        <v>27</v>
      </c>
      <c r="J4" s="8" t="s">
        <v>143</v>
      </c>
      <c r="K4" s="6"/>
      <c r="L4" s="6"/>
      <c r="M4" s="7"/>
    </row>
    <row r="5" spans="2:13">
      <c r="B5" s="8" t="s">
        <v>13</v>
      </c>
      <c r="C5" s="6"/>
      <c r="D5" s="6"/>
      <c r="E5" s="6"/>
      <c r="F5" s="6"/>
      <c r="G5" s="6"/>
      <c r="H5" s="7"/>
      <c r="J5" s="5" t="s">
        <v>144</v>
      </c>
      <c r="K5" s="6"/>
      <c r="L5" s="6"/>
      <c r="M5" s="24">
        <v>6750</v>
      </c>
    </row>
    <row r="6" spans="2:13">
      <c r="B6" s="5" t="s">
        <v>131</v>
      </c>
      <c r="C6" s="6">
        <v>15</v>
      </c>
      <c r="D6" s="6" t="s">
        <v>14</v>
      </c>
      <c r="E6" s="14">
        <f>Assumptions!C26</f>
        <v>0.75</v>
      </c>
      <c r="F6" s="6" t="s">
        <v>35</v>
      </c>
      <c r="G6" s="6"/>
      <c r="H6" s="11">
        <f>C6*E6</f>
        <v>11.25</v>
      </c>
      <c r="J6" s="9" t="s">
        <v>77</v>
      </c>
      <c r="K6" s="2"/>
      <c r="L6" s="2"/>
      <c r="M6" s="25">
        <v>500</v>
      </c>
    </row>
    <row r="7" spans="2:13">
      <c r="B7" s="5"/>
      <c r="C7" s="6"/>
      <c r="D7" s="6"/>
      <c r="E7" s="14"/>
      <c r="F7" s="6"/>
      <c r="G7" s="6"/>
      <c r="H7" s="11"/>
      <c r="J7" s="8" t="s">
        <v>78</v>
      </c>
      <c r="K7" s="6"/>
      <c r="L7" s="6"/>
      <c r="M7" s="26">
        <f>SUM(M5:M6)</f>
        <v>7250</v>
      </c>
    </row>
    <row r="8" spans="2:13">
      <c r="B8" s="8" t="s">
        <v>135</v>
      </c>
      <c r="C8" s="6"/>
      <c r="D8" s="6"/>
      <c r="E8" s="14"/>
      <c r="F8" s="6"/>
      <c r="G8" s="6"/>
      <c r="H8" s="11"/>
      <c r="J8" s="5"/>
      <c r="K8" s="6"/>
      <c r="L8" s="6"/>
      <c r="M8" s="7"/>
    </row>
    <row r="9" spans="2:13">
      <c r="B9" s="13" t="s">
        <v>43</v>
      </c>
      <c r="C9" s="6">
        <v>1</v>
      </c>
      <c r="D9" s="6" t="s">
        <v>44</v>
      </c>
      <c r="E9" s="14">
        <f>Assumptions!C19</f>
        <v>1.43</v>
      </c>
      <c r="F9" s="6" t="s">
        <v>44</v>
      </c>
      <c r="G9" s="6"/>
      <c r="H9" s="11">
        <f>C9*E9</f>
        <v>1.43</v>
      </c>
      <c r="J9" s="8" t="s">
        <v>141</v>
      </c>
      <c r="K9" s="6"/>
      <c r="L9" s="6"/>
      <c r="M9" s="26">
        <f>M7/3000</f>
        <v>2.4166666666666665</v>
      </c>
    </row>
    <row r="10" spans="2:13">
      <c r="B10" s="8"/>
      <c r="C10" s="6"/>
      <c r="D10" s="6"/>
      <c r="E10" s="14"/>
      <c r="F10" s="6"/>
      <c r="G10" s="6"/>
      <c r="H10" s="11"/>
      <c r="J10" s="8"/>
      <c r="K10" s="6"/>
      <c r="L10" s="6"/>
      <c r="M10" s="7"/>
    </row>
    <row r="11" spans="2:13">
      <c r="B11" s="5"/>
      <c r="C11" s="6"/>
      <c r="D11" s="6"/>
      <c r="E11" s="6"/>
      <c r="F11" s="6"/>
      <c r="G11" s="6"/>
      <c r="H11" s="11"/>
      <c r="J11" s="13" t="s">
        <v>181</v>
      </c>
      <c r="K11" s="6"/>
      <c r="L11" s="6"/>
      <c r="M11" s="26">
        <f>M9*0.14</f>
        <v>0.33833333333333332</v>
      </c>
    </row>
    <row r="12" spans="2:13" ht="15" thickBot="1">
      <c r="B12" s="8" t="s">
        <v>17</v>
      </c>
      <c r="C12" s="6"/>
      <c r="D12" s="6"/>
      <c r="E12" s="6"/>
      <c r="F12" s="6"/>
      <c r="G12" s="6"/>
      <c r="H12" s="12"/>
      <c r="J12" s="234"/>
      <c r="K12" s="235"/>
      <c r="L12" s="235"/>
      <c r="M12" s="236"/>
    </row>
    <row r="13" spans="2:13" ht="15" thickTop="1">
      <c r="B13" s="13" t="s">
        <v>18</v>
      </c>
      <c r="C13" s="6"/>
      <c r="D13" s="6"/>
      <c r="E13" s="6"/>
      <c r="F13" s="6"/>
      <c r="G13" s="6"/>
      <c r="H13" s="12"/>
    </row>
    <row r="14" spans="2:13">
      <c r="B14" s="9" t="s">
        <v>8</v>
      </c>
      <c r="C14" s="2">
        <v>0.69</v>
      </c>
      <c r="D14" s="2" t="s">
        <v>132</v>
      </c>
      <c r="E14" s="3">
        <f>Assumptions!C12</f>
        <v>12.38</v>
      </c>
      <c r="F14" s="2" t="s">
        <v>37</v>
      </c>
      <c r="G14" s="2"/>
      <c r="H14" s="16">
        <f>C14*E14</f>
        <v>8.5421999999999993</v>
      </c>
    </row>
    <row r="15" spans="2:13">
      <c r="B15" s="5" t="s">
        <v>26</v>
      </c>
      <c r="C15" s="6"/>
      <c r="D15" s="6"/>
      <c r="E15" s="6"/>
      <c r="F15" s="6"/>
      <c r="G15" s="6"/>
      <c r="H15" s="11">
        <f>SUM(H14:H14)</f>
        <v>8.5421999999999993</v>
      </c>
      <c r="J15" t="s">
        <v>266</v>
      </c>
      <c r="M15" s="50">
        <f>H29/C6</f>
        <v>0.90841882222222226</v>
      </c>
    </row>
    <row r="16" spans="2:13">
      <c r="B16" s="5"/>
      <c r="C16" s="6"/>
      <c r="D16" s="6"/>
      <c r="E16" s="6"/>
      <c r="F16" s="6"/>
      <c r="G16" s="6"/>
      <c r="H16" s="12"/>
      <c r="J16" t="s">
        <v>267</v>
      </c>
      <c r="M16" s="50">
        <f>M15-E6</f>
        <v>0.15841882222222226</v>
      </c>
    </row>
    <row r="17" spans="2:8">
      <c r="B17" s="5" t="s">
        <v>133</v>
      </c>
      <c r="C17" s="6"/>
      <c r="D17" s="6"/>
      <c r="E17" s="6"/>
      <c r="F17" s="6"/>
      <c r="G17" s="6"/>
      <c r="H17" s="15">
        <v>0.34</v>
      </c>
    </row>
    <row r="18" spans="2:8">
      <c r="B18" s="5" t="s">
        <v>134</v>
      </c>
      <c r="C18" s="6"/>
      <c r="D18" s="6"/>
      <c r="E18" s="6"/>
      <c r="F18" s="6"/>
      <c r="G18" s="6"/>
      <c r="H18" s="15">
        <v>7.0000000000000007E-2</v>
      </c>
    </row>
    <row r="19" spans="2:8">
      <c r="B19" s="5" t="s">
        <v>85</v>
      </c>
      <c r="C19" s="6"/>
      <c r="D19" s="6"/>
      <c r="E19" s="6"/>
      <c r="F19" s="6"/>
      <c r="G19" s="6"/>
      <c r="H19" s="15">
        <v>0.06</v>
      </c>
    </row>
    <row r="20" spans="2:8">
      <c r="B20" s="5" t="s">
        <v>84</v>
      </c>
      <c r="C20" s="6"/>
      <c r="D20" s="6"/>
      <c r="E20" s="6"/>
      <c r="F20" s="6"/>
      <c r="G20" s="6"/>
      <c r="H20" s="15">
        <v>0.13</v>
      </c>
    </row>
    <row r="21" spans="2:8">
      <c r="B21" s="5" t="s">
        <v>32</v>
      </c>
      <c r="C21" s="6">
        <v>6</v>
      </c>
      <c r="D21" s="6" t="s">
        <v>48</v>
      </c>
      <c r="E21" s="34">
        <f>Assumptions!C17</f>
        <v>0.09</v>
      </c>
      <c r="F21" s="6"/>
      <c r="G21" s="6"/>
      <c r="H21" s="15">
        <f>SUM(H9,H14,H17:H20)*(E21/12)*C21</f>
        <v>0.47574899999999998</v>
      </c>
    </row>
    <row r="22" spans="2:8">
      <c r="B22" s="9" t="s">
        <v>33</v>
      </c>
      <c r="C22" s="2">
        <v>0.16</v>
      </c>
      <c r="D22" s="2" t="s">
        <v>49</v>
      </c>
      <c r="E22" s="3">
        <f>Assumptions!C16</f>
        <v>14</v>
      </c>
      <c r="F22" s="2" t="s">
        <v>39</v>
      </c>
      <c r="G22" s="2"/>
      <c r="H22" s="16">
        <f>C22*E22</f>
        <v>2.2400000000000002</v>
      </c>
    </row>
    <row r="23" spans="2:8">
      <c r="B23" s="8" t="s">
        <v>51</v>
      </c>
      <c r="C23" s="6"/>
      <c r="D23" s="6"/>
      <c r="E23" s="6"/>
      <c r="F23" s="6"/>
      <c r="G23" s="6"/>
      <c r="H23" s="15">
        <f>SUM(H15,H17,H18,H19,H21,H22,H20)</f>
        <v>11.857949000000001</v>
      </c>
    </row>
    <row r="24" spans="2:8">
      <c r="B24" s="5"/>
      <c r="C24" s="6"/>
      <c r="D24" s="6"/>
      <c r="E24" s="6"/>
      <c r="F24" s="6"/>
      <c r="G24" s="6"/>
      <c r="H24" s="12"/>
    </row>
    <row r="25" spans="2:8">
      <c r="B25" s="8" t="s">
        <v>52</v>
      </c>
      <c r="C25" s="6"/>
      <c r="D25" s="6"/>
      <c r="E25" s="6"/>
      <c r="F25" s="6"/>
      <c r="G25" s="6"/>
      <c r="H25" s="12"/>
    </row>
    <row r="26" spans="2:8">
      <c r="B26" s="5" t="s">
        <v>194</v>
      </c>
      <c r="C26" s="6"/>
      <c r="D26" s="6"/>
      <c r="E26" s="6"/>
      <c r="F26" s="6"/>
      <c r="G26" s="6"/>
      <c r="H26" s="15">
        <f>M11</f>
        <v>0.33833333333333332</v>
      </c>
    </row>
    <row r="27" spans="2:8" ht="15" thickBot="1">
      <c r="B27" s="17" t="s">
        <v>56</v>
      </c>
      <c r="C27" s="4"/>
      <c r="D27" s="4"/>
      <c r="E27" s="4"/>
      <c r="F27" s="4"/>
      <c r="G27" s="4"/>
      <c r="H27" s="18">
        <f>SUM(H26:H26)</f>
        <v>0.33833333333333332</v>
      </c>
    </row>
    <row r="28" spans="2:8" ht="15" thickTop="1">
      <c r="B28" s="5"/>
      <c r="C28" s="6"/>
      <c r="D28" s="6"/>
      <c r="E28" s="6"/>
      <c r="F28" s="6"/>
      <c r="G28" s="6"/>
      <c r="H28" s="12"/>
    </row>
    <row r="29" spans="2:8">
      <c r="B29" s="8" t="s">
        <v>57</v>
      </c>
      <c r="C29" s="6"/>
      <c r="D29" s="6"/>
      <c r="E29" s="6"/>
      <c r="F29" s="6"/>
      <c r="G29" s="6"/>
      <c r="H29" s="15">
        <f>H23+H27+H9</f>
        <v>13.626282333333334</v>
      </c>
    </row>
    <row r="30" spans="2:8">
      <c r="B30" s="5"/>
      <c r="C30" s="6"/>
      <c r="D30" s="6"/>
      <c r="E30" s="6"/>
      <c r="F30" s="6"/>
      <c r="G30" s="6"/>
      <c r="H30" s="7"/>
    </row>
    <row r="31" spans="2:8">
      <c r="B31" s="8" t="s">
        <v>268</v>
      </c>
      <c r="C31" s="6"/>
      <c r="D31" s="6"/>
      <c r="E31" s="6"/>
      <c r="F31" s="6"/>
      <c r="G31" s="6"/>
      <c r="H31" s="19">
        <f>H6-H29</f>
        <v>-2.3762823333333341</v>
      </c>
    </row>
    <row r="32" spans="2:8" ht="15" thickBot="1">
      <c r="B32" s="234"/>
      <c r="C32" s="235"/>
      <c r="D32" s="235"/>
      <c r="E32" s="235"/>
      <c r="F32" s="235"/>
      <c r="G32" s="235"/>
      <c r="H32" s="236"/>
    </row>
    <row r="33" ht="15" thickTop="1"/>
  </sheetData>
  <mergeCells count="6">
    <mergeCell ref="B2:H2"/>
    <mergeCell ref="C4:D4"/>
    <mergeCell ref="E4:F4"/>
    <mergeCell ref="B32:H32"/>
    <mergeCell ref="J2:M2"/>
    <mergeCell ref="J12:M12"/>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workbookViewId="0">
      <selection activeCell="B2" sqref="B2:E12"/>
    </sheetView>
  </sheetViews>
  <sheetFormatPr baseColWidth="10" defaultColWidth="8.83203125" defaultRowHeight="14" x14ac:dyDescent="0"/>
  <cols>
    <col min="4" max="4" width="32.83203125" customWidth="1"/>
    <col min="5" max="5" width="10.5" bestFit="1" customWidth="1"/>
  </cols>
  <sheetData>
    <row r="1" spans="2:5" ht="15" thickBot="1"/>
    <row r="2" spans="2:5" ht="20" thickTop="1" thickBot="1">
      <c r="B2" s="228" t="s">
        <v>142</v>
      </c>
      <c r="C2" s="229"/>
      <c r="D2" s="229"/>
      <c r="E2" s="230"/>
    </row>
    <row r="3" spans="2:5" ht="15" thickTop="1">
      <c r="B3" s="5"/>
      <c r="C3" s="6"/>
      <c r="D3" s="6"/>
      <c r="E3" s="7"/>
    </row>
    <row r="4" spans="2:5">
      <c r="B4" s="8" t="s">
        <v>143</v>
      </c>
      <c r="C4" s="6"/>
      <c r="D4" s="6"/>
      <c r="E4" s="7"/>
    </row>
    <row r="5" spans="2:5">
      <c r="B5" s="5" t="s">
        <v>144</v>
      </c>
      <c r="C5" s="6"/>
      <c r="D5" s="6"/>
      <c r="E5" s="24">
        <v>6750</v>
      </c>
    </row>
    <row r="6" spans="2:5">
      <c r="B6" s="9" t="s">
        <v>77</v>
      </c>
      <c r="C6" s="2"/>
      <c r="D6" s="2"/>
      <c r="E6" s="25">
        <v>500</v>
      </c>
    </row>
    <row r="7" spans="2:5">
      <c r="B7" s="8" t="s">
        <v>78</v>
      </c>
      <c r="C7" s="6"/>
      <c r="D7" s="6"/>
      <c r="E7" s="26">
        <f>SUM(E5:E6)</f>
        <v>7250</v>
      </c>
    </row>
    <row r="8" spans="2:5">
      <c r="B8" s="5"/>
      <c r="C8" s="6"/>
      <c r="D8" s="6"/>
      <c r="E8" s="7"/>
    </row>
    <row r="9" spans="2:5">
      <c r="B9" s="8" t="s">
        <v>141</v>
      </c>
      <c r="C9" s="6"/>
      <c r="D9" s="6"/>
      <c r="E9" s="26">
        <f>E7/3000</f>
        <v>2.4166666666666665</v>
      </c>
    </row>
    <row r="10" spans="2:5">
      <c r="B10" s="8"/>
      <c r="C10" s="6"/>
      <c r="D10" s="6"/>
      <c r="E10" s="7"/>
    </row>
    <row r="11" spans="2:5">
      <c r="B11" s="13" t="s">
        <v>181</v>
      </c>
      <c r="C11" s="6"/>
      <c r="D11" s="6"/>
      <c r="E11" s="26">
        <f>E9*0.14</f>
        <v>0.33833333333333332</v>
      </c>
    </row>
    <row r="12" spans="2:5" ht="15" thickBot="1">
      <c r="B12" s="234"/>
      <c r="C12" s="235"/>
      <c r="D12" s="235"/>
      <c r="E12" s="236"/>
    </row>
    <row r="13" spans="2:5" ht="15" thickTop="1"/>
  </sheetData>
  <mergeCells count="2">
    <mergeCell ref="B2:E2"/>
    <mergeCell ref="B12:E1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4"/>
  <sheetViews>
    <sheetView workbookViewId="0">
      <selection activeCell="I36" sqref="I36"/>
    </sheetView>
  </sheetViews>
  <sheetFormatPr baseColWidth="10" defaultColWidth="8.83203125" defaultRowHeight="14" x14ac:dyDescent="0"/>
  <sheetData>
    <row r="3" spans="2:7">
      <c r="G3" t="s">
        <v>145</v>
      </c>
    </row>
    <row r="4" spans="2:7">
      <c r="C4">
        <f>0.4+0.65</f>
        <v>1.05</v>
      </c>
      <c r="D4">
        <f>C4/2</f>
        <v>0.52500000000000002</v>
      </c>
      <c r="E4">
        <v>0.65</v>
      </c>
      <c r="F4">
        <v>0.8</v>
      </c>
    </row>
    <row r="5" spans="2:7">
      <c r="D5">
        <f>25/D4</f>
        <v>47.61904761904762</v>
      </c>
      <c r="E5">
        <f>35/E4</f>
        <v>53.846153846153847</v>
      </c>
      <c r="F5">
        <f>45/F4</f>
        <v>56.25</v>
      </c>
      <c r="G5">
        <f>D5+E5+F5</f>
        <v>157.71520146520146</v>
      </c>
    </row>
    <row r="6" spans="2:7">
      <c r="G6" t="s">
        <v>146</v>
      </c>
    </row>
    <row r="7" spans="2:7">
      <c r="B7" t="s">
        <v>147</v>
      </c>
    </row>
    <row r="8" spans="2:7">
      <c r="B8" t="s">
        <v>148</v>
      </c>
      <c r="D8">
        <f>90/0.3</f>
        <v>300</v>
      </c>
    </row>
    <row r="9" spans="2:7">
      <c r="B9" t="s">
        <v>149</v>
      </c>
    </row>
    <row r="10" spans="2:7">
      <c r="B10" t="s">
        <v>150</v>
      </c>
    </row>
    <row r="14" spans="2:7">
      <c r="B14">
        <f>6*30</f>
        <v>180</v>
      </c>
      <c r="C14" t="s">
        <v>151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1"/>
  <sheetViews>
    <sheetView tabSelected="1" topLeftCell="B3" workbookViewId="0">
      <selection activeCell="B18" sqref="B18:I20"/>
    </sheetView>
  </sheetViews>
  <sheetFormatPr baseColWidth="10" defaultColWidth="8.83203125" defaultRowHeight="14" x14ac:dyDescent="0"/>
  <cols>
    <col min="1" max="1" width="2.6640625" customWidth="1"/>
    <col min="2" max="2" width="11.1640625" customWidth="1"/>
    <col min="9" max="9" width="17.5" customWidth="1"/>
    <col min="10" max="10" width="3.1640625" customWidth="1"/>
    <col min="11" max="11" width="25" customWidth="1"/>
    <col min="12" max="16" width="24.6640625" customWidth="1"/>
  </cols>
  <sheetData>
    <row r="1" spans="2:21" ht="15" thickBot="1">
      <c r="Q1" s="64"/>
      <c r="R1" s="64"/>
      <c r="S1" s="64"/>
    </row>
    <row r="2" spans="2:21" ht="27" customHeight="1" thickBot="1">
      <c r="B2" s="146" t="s">
        <v>205</v>
      </c>
      <c r="C2" s="147"/>
      <c r="D2" s="147"/>
      <c r="E2" s="147"/>
      <c r="F2" s="147"/>
      <c r="G2" s="147"/>
      <c r="H2" s="147"/>
      <c r="I2" s="148"/>
      <c r="K2" s="163" t="s">
        <v>211</v>
      </c>
      <c r="L2" s="164"/>
      <c r="M2" s="164"/>
      <c r="N2" s="164"/>
      <c r="O2" s="164"/>
      <c r="P2" s="165"/>
    </row>
    <row r="3" spans="2:21" ht="21.75" customHeight="1">
      <c r="B3" s="149"/>
      <c r="C3" s="150"/>
      <c r="D3" s="150"/>
      <c r="E3" s="150"/>
      <c r="F3" s="150"/>
      <c r="G3" s="150"/>
      <c r="H3" s="150"/>
      <c r="I3" s="151"/>
      <c r="K3" s="166" t="s">
        <v>153</v>
      </c>
      <c r="L3" s="168" t="s">
        <v>154</v>
      </c>
      <c r="M3" s="169"/>
      <c r="N3" s="169"/>
      <c r="O3" s="169"/>
      <c r="P3" s="170"/>
    </row>
    <row r="4" spans="2:21" ht="20">
      <c r="B4" s="74"/>
      <c r="C4" s="75"/>
      <c r="D4" s="75"/>
      <c r="E4" s="75"/>
      <c r="F4" s="75"/>
      <c r="G4" s="75"/>
      <c r="H4" s="75"/>
      <c r="I4" s="76"/>
      <c r="K4" s="167"/>
      <c r="L4" s="35" t="s">
        <v>155</v>
      </c>
      <c r="M4" s="35" t="s">
        <v>81</v>
      </c>
      <c r="N4" s="35" t="s">
        <v>156</v>
      </c>
      <c r="O4" s="35" t="s">
        <v>147</v>
      </c>
      <c r="P4" s="36" t="s">
        <v>157</v>
      </c>
      <c r="S4" s="62"/>
    </row>
    <row r="5" spans="2:21" ht="26.25" customHeight="1" thickBot="1">
      <c r="B5" s="77" t="s">
        <v>152</v>
      </c>
      <c r="C5" s="6"/>
      <c r="D5" s="6"/>
      <c r="E5" s="6"/>
      <c r="F5" s="6"/>
      <c r="G5" s="6"/>
      <c r="H5" s="6"/>
      <c r="I5" s="78"/>
      <c r="K5" s="159" t="s">
        <v>209</v>
      </c>
      <c r="L5" s="161">
        <f>Calculations!B15</f>
        <v>16</v>
      </c>
      <c r="M5" s="161">
        <f>Calculations!C15</f>
        <v>56</v>
      </c>
      <c r="N5" s="161">
        <f>Calculations!D15</f>
        <v>92</v>
      </c>
      <c r="O5" s="161">
        <f>Calculations!E15</f>
        <v>78</v>
      </c>
      <c r="P5" s="172">
        <f>Calculations!F15</f>
        <v>4500</v>
      </c>
      <c r="S5" s="61"/>
    </row>
    <row r="6" spans="2:21" ht="27.75" customHeight="1" thickBot="1">
      <c r="B6" s="152">
        <v>25000</v>
      </c>
      <c r="C6" s="153"/>
      <c r="D6" s="154"/>
      <c r="E6" s="6"/>
      <c r="F6" s="6"/>
      <c r="G6" s="6"/>
      <c r="H6" s="6"/>
      <c r="I6" s="78"/>
      <c r="K6" s="160"/>
      <c r="L6" s="162"/>
      <c r="M6" s="162"/>
      <c r="N6" s="162"/>
      <c r="O6" s="162"/>
      <c r="P6" s="173"/>
    </row>
    <row r="7" spans="2:21" ht="27.75" customHeight="1">
      <c r="B7" s="79"/>
      <c r="C7" s="6"/>
      <c r="D7" s="6"/>
      <c r="E7" s="6"/>
      <c r="F7" s="6"/>
      <c r="G7" s="6"/>
      <c r="H7" s="6"/>
      <c r="I7" s="78"/>
      <c r="K7" s="158" t="s">
        <v>189</v>
      </c>
      <c r="L7" s="54">
        <f>Calculations!B16</f>
        <v>24752</v>
      </c>
      <c r="M7" s="54">
        <f>Calculations!C16</f>
        <v>24714.760000000002</v>
      </c>
      <c r="N7" s="54">
        <f>Calculations!D16</f>
        <v>24748</v>
      </c>
      <c r="O7" s="54">
        <f>Calculations!E16</f>
        <v>24882</v>
      </c>
      <c r="P7" s="70">
        <f>Calculations!F16</f>
        <v>17310</v>
      </c>
    </row>
    <row r="8" spans="2:21" ht="27.75" customHeight="1" thickBot="1">
      <c r="B8" s="77" t="s">
        <v>206</v>
      </c>
      <c r="C8" s="6"/>
      <c r="D8" s="6"/>
      <c r="E8" s="6"/>
      <c r="F8" s="6"/>
      <c r="G8" s="6"/>
      <c r="H8" s="6"/>
      <c r="I8" s="78"/>
      <c r="K8" s="158"/>
      <c r="L8" s="63" t="str">
        <f>"$"&amp;Calculations!B17 &amp;" investment/unit"</f>
        <v>$1547 investment/unit</v>
      </c>
      <c r="M8" s="63" t="str">
        <f>"$"&amp;Calculations!C17 &amp;" investment/head"</f>
        <v>$441.34 investment/head</v>
      </c>
      <c r="N8" s="63" t="str">
        <f>"$"&amp;Calculations!D17 &amp;" investment/unit"</f>
        <v>$269 investment/unit</v>
      </c>
      <c r="O8" s="63" t="str">
        <f>"$"&amp;Calculations!E17 &amp;" investment/unit"</f>
        <v>$319 investment/unit</v>
      </c>
      <c r="P8" s="65" t="str">
        <f>"$"&amp;Calculations!F17 &amp;" investment/bird"</f>
        <v>$3.85 investment/bird</v>
      </c>
      <c r="U8" s="50"/>
    </row>
    <row r="9" spans="2:21" ht="27.75" customHeight="1" thickBot="1">
      <c r="B9" s="152">
        <v>40</v>
      </c>
      <c r="C9" s="153"/>
      <c r="D9" s="154"/>
      <c r="E9" s="6"/>
      <c r="F9" s="6"/>
      <c r="G9" s="6"/>
      <c r="H9" s="6"/>
      <c r="I9" s="78"/>
      <c r="K9" s="171" t="s">
        <v>188</v>
      </c>
      <c r="L9" s="53">
        <f>Calculations!B18</f>
        <v>39.200000000000003</v>
      </c>
      <c r="M9" s="53">
        <f>Calculations!C18</f>
        <v>28</v>
      </c>
      <c r="N9" s="53">
        <f>Calculations!D18</f>
        <v>18.400000000000002</v>
      </c>
      <c r="O9" s="53">
        <f>Calculations!E18</f>
        <v>23.4</v>
      </c>
      <c r="P9" s="71">
        <f>Calculations!F18</f>
        <v>9</v>
      </c>
    </row>
    <row r="10" spans="2:21" ht="27.75" customHeight="1" thickBot="1">
      <c r="B10" s="80"/>
      <c r="C10" s="81"/>
      <c r="D10" s="81"/>
      <c r="E10" s="81"/>
      <c r="F10" s="81"/>
      <c r="G10" s="81"/>
      <c r="H10" s="81"/>
      <c r="I10" s="82"/>
      <c r="K10" s="171"/>
      <c r="L10" s="66" t="str">
        <f>Calculations!B7 &amp;" acres/unit"</f>
        <v>2.45 acres/unit</v>
      </c>
      <c r="M10" s="66" t="str">
        <f>Calculations!C7 &amp;" acres/head"</f>
        <v>0.5 acres/head</v>
      </c>
      <c r="N10" s="66" t="str">
        <f>Calculations!D7 &amp;" acres/unit"</f>
        <v>0.2 acres/unit</v>
      </c>
      <c r="O10" s="66" t="str">
        <f>Calculations!E7 &amp;" acres/unit"</f>
        <v>0.3 acres/unit</v>
      </c>
      <c r="P10" s="72" t="str">
        <f>Calculations!F7 &amp;" acres/bird"</f>
        <v>0.002 acres/bird</v>
      </c>
      <c r="U10" t="s">
        <v>187</v>
      </c>
    </row>
    <row r="11" spans="2:21" ht="27.75" customHeight="1" thickBot="1">
      <c r="K11" s="158" t="s">
        <v>164</v>
      </c>
      <c r="L11" s="145">
        <f>Calculations!B19</f>
        <v>14069.004000000001</v>
      </c>
      <c r="M11" s="56">
        <f>Calculations!C20</f>
        <v>42774.79108000001</v>
      </c>
      <c r="N11" s="145">
        <f>Calculations!D19</f>
        <v>23678.959999999999</v>
      </c>
      <c r="O11" s="145">
        <f>Calculations!E19</f>
        <v>12065.874368363637</v>
      </c>
      <c r="P11" s="55">
        <f>Calculations!F20</f>
        <v>61318.270500000006</v>
      </c>
      <c r="S11" t="s">
        <v>187</v>
      </c>
    </row>
    <row r="12" spans="2:21" ht="27.75" customHeight="1">
      <c r="B12" s="155" t="s">
        <v>208</v>
      </c>
      <c r="C12" s="156"/>
      <c r="D12" s="156"/>
      <c r="E12" s="156"/>
      <c r="F12" s="156"/>
      <c r="G12" s="156"/>
      <c r="H12" s="156"/>
      <c r="I12" s="157"/>
      <c r="K12" s="158"/>
      <c r="L12" s="145"/>
      <c r="M12" s="83" t="str">
        <f>"$"&amp;Calculations!C19 &amp;" in Year 1"</f>
        <v>$24192.03 in Year 1</v>
      </c>
      <c r="N12" s="145"/>
      <c r="O12" s="145"/>
      <c r="P12" s="84" t="str">
        <f>"$"&amp;Calculations!F19 &amp;" in Year 1"</f>
        <v>$54883.27 in Year 1</v>
      </c>
    </row>
    <row r="13" spans="2:21" ht="27.75" customHeight="1">
      <c r="B13" s="183" t="s">
        <v>212</v>
      </c>
      <c r="C13" s="181"/>
      <c r="D13" s="181"/>
      <c r="E13" s="181" t="s">
        <v>216</v>
      </c>
      <c r="F13" s="181"/>
      <c r="G13" s="181"/>
      <c r="H13" s="181"/>
      <c r="I13" s="182"/>
      <c r="K13" s="158"/>
      <c r="L13" s="42" t="str">
        <f>"$"&amp;Calculations!B21 &amp;" cost/unit"</f>
        <v>$879.31 cost/unit</v>
      </c>
      <c r="M13" s="42" t="str">
        <f>"$"&amp;Calculations!C21 &amp;" cost/head"</f>
        <v>$763.84 cost/head</v>
      </c>
      <c r="N13" s="42" t="str">
        <f>"$"&amp;Calculations!D21 &amp;" cost/unit"</f>
        <v>$257.38 cost/unit</v>
      </c>
      <c r="O13" s="42" t="str">
        <f>"$"&amp;Calculations!E21 &amp;" cost/unit"</f>
        <v>$154.69 cost/unit</v>
      </c>
      <c r="P13" s="43" t="str">
        <f>"$"&amp;Calculations!F21 &amp;" cost/bird"</f>
        <v>$13.63 cost/bird</v>
      </c>
    </row>
    <row r="14" spans="2:21" ht="27.75" customHeight="1">
      <c r="B14" s="183"/>
      <c r="C14" s="181"/>
      <c r="D14" s="181"/>
      <c r="E14" s="181"/>
      <c r="F14" s="181"/>
      <c r="G14" s="181"/>
      <c r="H14" s="181"/>
      <c r="I14" s="182"/>
      <c r="K14" s="171" t="s">
        <v>165</v>
      </c>
      <c r="L14" s="179">
        <f>Calculations!B22</f>
        <v>0.56515904516040993</v>
      </c>
      <c r="M14" s="179">
        <f>Calculations!C22</f>
        <v>0.35955697528278174</v>
      </c>
      <c r="N14" s="179">
        <f>Calculations!D22</f>
        <v>0.48954852746911182</v>
      </c>
      <c r="O14" s="179">
        <f>Calculations!E22</f>
        <v>0.37871355614454716</v>
      </c>
      <c r="P14" s="180">
        <f>Calculations!F22</f>
        <v>0.62672046955245775</v>
      </c>
    </row>
    <row r="15" spans="2:21" ht="27.75" customHeight="1">
      <c r="B15" s="187" t="s">
        <v>217</v>
      </c>
      <c r="C15" s="188"/>
      <c r="D15" s="188"/>
      <c r="E15" s="191" t="s">
        <v>225</v>
      </c>
      <c r="F15" s="191"/>
      <c r="G15" s="191"/>
      <c r="H15" s="191"/>
      <c r="I15" s="192"/>
      <c r="K15" s="171"/>
      <c r="L15" s="179"/>
      <c r="M15" s="179"/>
      <c r="N15" s="179"/>
      <c r="O15" s="179"/>
      <c r="P15" s="180"/>
    </row>
    <row r="16" spans="2:21" ht="27.75" customHeight="1">
      <c r="B16" s="189" t="s">
        <v>213</v>
      </c>
      <c r="C16" s="190"/>
      <c r="D16" s="190"/>
      <c r="E16" s="193" t="s">
        <v>226</v>
      </c>
      <c r="F16" s="193"/>
      <c r="G16" s="193"/>
      <c r="H16" s="193"/>
      <c r="I16" s="194"/>
      <c r="K16" s="175" t="s">
        <v>190</v>
      </c>
      <c r="L16" s="56">
        <f>Calculations!B23</f>
        <v>-1857.8040000000019</v>
      </c>
      <c r="M16" s="56">
        <f>Calculations!C23</f>
        <v>-8886.3910800000085</v>
      </c>
      <c r="N16" s="56">
        <f>Calculations!D23</f>
        <v>586.08600000000456</v>
      </c>
      <c r="O16" s="56">
        <f>Calculations!E23</f>
        <v>6472.8598716363631</v>
      </c>
      <c r="P16" s="55">
        <f>Calculations!F23</f>
        <v>-10693.270500000002</v>
      </c>
    </row>
    <row r="17" spans="2:16" ht="27.75" customHeight="1">
      <c r="B17" s="187" t="s">
        <v>214</v>
      </c>
      <c r="C17" s="188"/>
      <c r="D17" s="188"/>
      <c r="E17" s="191" t="s">
        <v>227</v>
      </c>
      <c r="F17" s="191"/>
      <c r="G17" s="191"/>
      <c r="H17" s="191"/>
      <c r="I17" s="192"/>
      <c r="K17" s="175"/>
      <c r="L17" s="42" t="str">
        <f>"$"&amp;Calculations!B24 &amp;" profit/unit"</f>
        <v>$-116.11 profit/unit</v>
      </c>
      <c r="M17" s="42" t="str">
        <f>"$"&amp;Calculations!C24 &amp;" profit/head"</f>
        <v>$-158.69 profit/head</v>
      </c>
      <c r="N17" s="42" t="str">
        <f>"$"&amp;Calculations!D24 &amp;" profit/unit"</f>
        <v>$6.37 profit/unit</v>
      </c>
      <c r="O17" s="42" t="str">
        <f>"$"&amp;Calculations!E24 &amp;" profit/unit"</f>
        <v>$82.99 profit/unit</v>
      </c>
      <c r="P17" s="43" t="str">
        <f>"$"&amp;Calculations!F24 &amp;" profit/bird"</f>
        <v>$-2.38 profit/bird</v>
      </c>
    </row>
    <row r="18" spans="2:16" ht="27.75" customHeight="1">
      <c r="B18" s="184" t="s">
        <v>219</v>
      </c>
      <c r="C18" s="185"/>
      <c r="D18" s="185"/>
      <c r="E18" s="185"/>
      <c r="F18" s="185"/>
      <c r="G18" s="185"/>
      <c r="H18" s="185"/>
      <c r="I18" s="186"/>
      <c r="K18" s="174" t="s">
        <v>191</v>
      </c>
      <c r="L18" s="60">
        <f>Calculations!B25</f>
        <v>128</v>
      </c>
      <c r="M18" s="60">
        <f>Calculations!C25</f>
        <v>112</v>
      </c>
      <c r="N18" s="60">
        <f>Calculations!D25</f>
        <v>460</v>
      </c>
      <c r="O18" s="60">
        <f>Calculations!E25</f>
        <v>156</v>
      </c>
      <c r="P18" s="59">
        <f>Calculations!F25</f>
        <v>720</v>
      </c>
    </row>
    <row r="19" spans="2:16" ht="27.75" customHeight="1" thickBot="1">
      <c r="B19" s="184"/>
      <c r="C19" s="185"/>
      <c r="D19" s="185"/>
      <c r="E19" s="185"/>
      <c r="F19" s="185"/>
      <c r="G19" s="185"/>
      <c r="H19" s="185"/>
      <c r="I19" s="186"/>
      <c r="K19" s="174"/>
      <c r="L19" s="69" t="str">
        <f>Calculations!B26&amp;" hours/unit"</f>
        <v>8 hours/unit</v>
      </c>
      <c r="M19" s="69" t="str">
        <f>Calculations!C26&amp;" hours/head"</f>
        <v>2 hours/head</v>
      </c>
      <c r="N19" s="69" t="str">
        <f>Calculations!D26&amp;" hours/unit"</f>
        <v>5 hours/unit</v>
      </c>
      <c r="O19" s="69" t="str">
        <f>Calculations!E26&amp;" hours/unit"</f>
        <v>2 hours/unit</v>
      </c>
      <c r="P19" s="73" t="str">
        <f>Calculations!F26&amp;" hours/bird"</f>
        <v>0.16 hours/bird</v>
      </c>
    </row>
    <row r="20" spans="2:16" ht="27.75" customHeight="1">
      <c r="B20" s="184"/>
      <c r="C20" s="185"/>
      <c r="D20" s="185"/>
      <c r="E20" s="185"/>
      <c r="F20" s="185"/>
      <c r="G20" s="185"/>
      <c r="H20" s="185"/>
      <c r="I20" s="186"/>
      <c r="K20" s="178" t="s">
        <v>159</v>
      </c>
      <c r="L20" s="57" t="s">
        <v>160</v>
      </c>
      <c r="M20" s="57" t="s">
        <v>160</v>
      </c>
      <c r="N20" s="57" t="s">
        <v>161</v>
      </c>
      <c r="O20" s="57" t="s">
        <v>161</v>
      </c>
      <c r="P20" s="58" t="s">
        <v>162</v>
      </c>
    </row>
    <row r="21" spans="2:16" ht="27.75" customHeight="1">
      <c r="B21" s="189" t="s">
        <v>220</v>
      </c>
      <c r="C21" s="190"/>
      <c r="D21" s="190"/>
      <c r="E21" s="193" t="s">
        <v>230</v>
      </c>
      <c r="F21" s="193"/>
      <c r="G21" s="193"/>
      <c r="H21" s="193"/>
      <c r="I21" s="194"/>
      <c r="K21" s="175"/>
      <c r="L21" s="45" t="s">
        <v>163</v>
      </c>
      <c r="M21" s="45" t="s">
        <v>163</v>
      </c>
      <c r="N21" s="45" t="s">
        <v>104</v>
      </c>
      <c r="O21" s="45" t="s">
        <v>104</v>
      </c>
      <c r="P21" s="46" t="s">
        <v>178</v>
      </c>
    </row>
    <row r="22" spans="2:16" ht="27.75" customHeight="1">
      <c r="B22" s="187" t="s">
        <v>218</v>
      </c>
      <c r="C22" s="188"/>
      <c r="D22" s="188"/>
      <c r="E22" s="191" t="s">
        <v>228</v>
      </c>
      <c r="F22" s="191"/>
      <c r="G22" s="191"/>
      <c r="H22" s="191"/>
      <c r="I22" s="192"/>
      <c r="K22" s="174" t="s">
        <v>166</v>
      </c>
      <c r="L22" s="53" t="s">
        <v>167</v>
      </c>
      <c r="M22" s="53" t="s">
        <v>168</v>
      </c>
      <c r="N22" s="53" t="s">
        <v>167</v>
      </c>
      <c r="O22" s="53" t="s">
        <v>167</v>
      </c>
      <c r="P22" s="39" t="s">
        <v>169</v>
      </c>
    </row>
    <row r="23" spans="2:16" ht="27.75" customHeight="1">
      <c r="B23" s="189" t="s">
        <v>215</v>
      </c>
      <c r="C23" s="190"/>
      <c r="D23" s="190"/>
      <c r="E23" s="193" t="s">
        <v>229</v>
      </c>
      <c r="F23" s="193"/>
      <c r="G23" s="193"/>
      <c r="H23" s="193"/>
      <c r="I23" s="194"/>
      <c r="K23" s="174"/>
      <c r="L23" s="40" t="s">
        <v>170</v>
      </c>
      <c r="M23" s="40" t="s">
        <v>171</v>
      </c>
      <c r="N23" s="40" t="s">
        <v>170</v>
      </c>
      <c r="O23" s="40" t="s">
        <v>170</v>
      </c>
      <c r="P23" s="41" t="s">
        <v>172</v>
      </c>
    </row>
    <row r="24" spans="2:16" ht="27.75" customHeight="1">
      <c r="B24" s="187" t="s">
        <v>221</v>
      </c>
      <c r="C24" s="188"/>
      <c r="D24" s="188"/>
      <c r="E24" s="191" t="s">
        <v>231</v>
      </c>
      <c r="F24" s="191"/>
      <c r="G24" s="191"/>
      <c r="H24" s="191"/>
      <c r="I24" s="192"/>
      <c r="K24" s="177" t="s">
        <v>210</v>
      </c>
      <c r="L24" s="37" t="s">
        <v>169</v>
      </c>
      <c r="M24" s="37" t="s">
        <v>167</v>
      </c>
      <c r="N24" s="37" t="s">
        <v>168</v>
      </c>
      <c r="O24" s="37" t="s">
        <v>168</v>
      </c>
      <c r="P24" s="38" t="s">
        <v>167</v>
      </c>
    </row>
    <row r="25" spans="2:16" ht="27.75" customHeight="1">
      <c r="B25" s="189" t="s">
        <v>222</v>
      </c>
      <c r="C25" s="190"/>
      <c r="D25" s="190"/>
      <c r="E25" s="193" t="s">
        <v>232</v>
      </c>
      <c r="F25" s="193"/>
      <c r="G25" s="193"/>
      <c r="H25" s="193"/>
      <c r="I25" s="194"/>
      <c r="K25" s="177"/>
      <c r="L25" s="44" t="s">
        <v>173</v>
      </c>
      <c r="M25" s="45" t="s">
        <v>174</v>
      </c>
      <c r="N25" s="45" t="s">
        <v>175</v>
      </c>
      <c r="O25" s="45" t="s">
        <v>192</v>
      </c>
      <c r="P25" s="46" t="s">
        <v>176</v>
      </c>
    </row>
    <row r="26" spans="2:16" ht="27.75" customHeight="1">
      <c r="B26" s="187" t="s">
        <v>223</v>
      </c>
      <c r="C26" s="188"/>
      <c r="D26" s="188"/>
      <c r="E26" s="191" t="s">
        <v>233</v>
      </c>
      <c r="F26" s="191"/>
      <c r="G26" s="191"/>
      <c r="H26" s="191"/>
      <c r="I26" s="192"/>
      <c r="K26" s="174" t="s">
        <v>236</v>
      </c>
      <c r="L26" s="53" t="s">
        <v>160</v>
      </c>
      <c r="M26" s="53" t="s">
        <v>160</v>
      </c>
      <c r="N26" s="53" t="s">
        <v>161</v>
      </c>
      <c r="O26" s="53" t="s">
        <v>161</v>
      </c>
      <c r="P26" s="39" t="s">
        <v>162</v>
      </c>
    </row>
    <row r="27" spans="2:16" ht="27.75" customHeight="1">
      <c r="B27" s="184" t="s">
        <v>234</v>
      </c>
      <c r="C27" s="185"/>
      <c r="D27" s="185"/>
      <c r="E27" s="185"/>
      <c r="F27" s="185"/>
      <c r="G27" s="185"/>
      <c r="H27" s="185"/>
      <c r="I27" s="186"/>
      <c r="K27" s="174"/>
      <c r="L27" s="40" t="s">
        <v>163</v>
      </c>
      <c r="M27" s="40" t="s">
        <v>163</v>
      </c>
      <c r="N27" s="40" t="s">
        <v>177</v>
      </c>
      <c r="O27" s="40" t="s">
        <v>177</v>
      </c>
      <c r="P27" s="41" t="s">
        <v>178</v>
      </c>
    </row>
    <row r="28" spans="2:16" ht="27.75" customHeight="1">
      <c r="B28" s="184"/>
      <c r="C28" s="185"/>
      <c r="D28" s="185"/>
      <c r="E28" s="185"/>
      <c r="F28" s="185"/>
      <c r="G28" s="185"/>
      <c r="H28" s="185"/>
      <c r="I28" s="186"/>
      <c r="K28" s="175" t="s">
        <v>224</v>
      </c>
      <c r="L28" s="37" t="s">
        <v>162</v>
      </c>
      <c r="M28" s="37" t="s">
        <v>162</v>
      </c>
      <c r="N28" s="37" t="s">
        <v>161</v>
      </c>
      <c r="O28" s="37" t="s">
        <v>161</v>
      </c>
      <c r="P28" s="38" t="s">
        <v>160</v>
      </c>
    </row>
    <row r="29" spans="2:16" ht="27.75" customHeight="1" thickBot="1">
      <c r="B29" s="197" t="s">
        <v>235</v>
      </c>
      <c r="C29" s="198"/>
      <c r="D29" s="198"/>
      <c r="E29" s="195" t="s">
        <v>237</v>
      </c>
      <c r="F29" s="195"/>
      <c r="G29" s="195"/>
      <c r="H29" s="195"/>
      <c r="I29" s="196"/>
      <c r="K29" s="176"/>
      <c r="L29" s="47" t="s">
        <v>178</v>
      </c>
      <c r="M29" s="47" t="s">
        <v>178</v>
      </c>
      <c r="N29" s="47" t="s">
        <v>177</v>
      </c>
      <c r="O29" s="47" t="s">
        <v>177</v>
      </c>
      <c r="P29" s="48" t="s">
        <v>163</v>
      </c>
    </row>
    <row r="30" spans="2:16" ht="20">
      <c r="K30" s="49"/>
    </row>
    <row r="31" spans="2:16" ht="20">
      <c r="K31" s="49"/>
    </row>
  </sheetData>
  <mergeCells count="56">
    <mergeCell ref="E29:I29"/>
    <mergeCell ref="E24:I24"/>
    <mergeCell ref="E25:I25"/>
    <mergeCell ref="E26:I26"/>
    <mergeCell ref="B27:I28"/>
    <mergeCell ref="B29:D29"/>
    <mergeCell ref="B25:D25"/>
    <mergeCell ref="B26:D26"/>
    <mergeCell ref="E13:I14"/>
    <mergeCell ref="B13:D14"/>
    <mergeCell ref="B18:I20"/>
    <mergeCell ref="B17:D17"/>
    <mergeCell ref="B24:D24"/>
    <mergeCell ref="B21:D21"/>
    <mergeCell ref="B22:D22"/>
    <mergeCell ref="B23:D23"/>
    <mergeCell ref="B15:D15"/>
    <mergeCell ref="B16:D16"/>
    <mergeCell ref="E15:I15"/>
    <mergeCell ref="E16:I16"/>
    <mergeCell ref="E17:I17"/>
    <mergeCell ref="E21:I21"/>
    <mergeCell ref="E22:I22"/>
    <mergeCell ref="E23:I23"/>
    <mergeCell ref="K9:K10"/>
    <mergeCell ref="P5:P6"/>
    <mergeCell ref="O5:O6"/>
    <mergeCell ref="K18:K19"/>
    <mergeCell ref="K28:K29"/>
    <mergeCell ref="K14:K15"/>
    <mergeCell ref="K16:K17"/>
    <mergeCell ref="K22:K23"/>
    <mergeCell ref="K24:K25"/>
    <mergeCell ref="K26:K27"/>
    <mergeCell ref="K20:K21"/>
    <mergeCell ref="L14:L15"/>
    <mergeCell ref="M14:M15"/>
    <mergeCell ref="N14:N15"/>
    <mergeCell ref="O14:O15"/>
    <mergeCell ref="P14:P15"/>
    <mergeCell ref="O11:O12"/>
    <mergeCell ref="B2:I3"/>
    <mergeCell ref="B6:D6"/>
    <mergeCell ref="B9:D9"/>
    <mergeCell ref="B12:I12"/>
    <mergeCell ref="K11:K13"/>
    <mergeCell ref="K5:K6"/>
    <mergeCell ref="L5:L6"/>
    <mergeCell ref="M5:M6"/>
    <mergeCell ref="N5:N6"/>
    <mergeCell ref="L11:L12"/>
    <mergeCell ref="N11:N12"/>
    <mergeCell ref="K2:P2"/>
    <mergeCell ref="K3:K4"/>
    <mergeCell ref="L3:P3"/>
    <mergeCell ref="K7:K8"/>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zoomScale="90" zoomScaleNormal="90" zoomScalePageLayoutView="90" workbookViewId="0">
      <selection activeCell="D14" sqref="D14"/>
    </sheetView>
  </sheetViews>
  <sheetFormatPr baseColWidth="10" defaultColWidth="11.5" defaultRowHeight="14" x14ac:dyDescent="0"/>
  <cols>
    <col min="1" max="1" width="3.6640625" customWidth="1"/>
    <col min="2" max="2" width="28.5" customWidth="1"/>
    <col min="3" max="3" width="12" customWidth="1"/>
    <col min="4" max="4" width="20.6640625" customWidth="1"/>
    <col min="5" max="5" width="8.1640625" customWidth="1"/>
    <col min="6" max="6" width="1.33203125" customWidth="1"/>
    <col min="7" max="7" width="27" customWidth="1"/>
    <col min="8" max="8" width="16" bestFit="1" customWidth="1"/>
    <col min="9" max="9" width="16.83203125" bestFit="1" customWidth="1"/>
    <col min="10" max="12" width="16" bestFit="1" customWidth="1"/>
  </cols>
  <sheetData>
    <row r="1" spans="2:12" ht="14.25" customHeight="1" thickBot="1"/>
    <row r="2" spans="2:12" ht="20" customHeight="1">
      <c r="B2" s="202" t="s">
        <v>243</v>
      </c>
      <c r="C2" s="203"/>
      <c r="D2" s="203"/>
      <c r="E2" s="204"/>
      <c r="G2" s="199" t="s">
        <v>252</v>
      </c>
      <c r="H2" s="200"/>
      <c r="I2" s="200"/>
      <c r="J2" s="200"/>
      <c r="K2" s="200"/>
      <c r="L2" s="201"/>
    </row>
    <row r="3" spans="2:12" ht="21" thickBot="1">
      <c r="B3" s="96" t="s">
        <v>244</v>
      </c>
      <c r="C3" s="101"/>
      <c r="D3" s="101" t="s">
        <v>242</v>
      </c>
      <c r="E3" s="78"/>
      <c r="G3" s="111"/>
      <c r="H3" s="108" t="s">
        <v>155</v>
      </c>
      <c r="I3" s="108" t="s">
        <v>81</v>
      </c>
      <c r="J3" s="108" t="s">
        <v>156</v>
      </c>
      <c r="K3" s="108" t="s">
        <v>147</v>
      </c>
      <c r="L3" s="112" t="s">
        <v>157</v>
      </c>
    </row>
    <row r="4" spans="2:12" ht="21" thickBot="1">
      <c r="B4" s="77" t="s">
        <v>155</v>
      </c>
      <c r="C4" s="6"/>
      <c r="D4" s="144">
        <v>20</v>
      </c>
      <c r="E4" s="78"/>
      <c r="G4" s="113" t="s">
        <v>28</v>
      </c>
      <c r="H4" s="109">
        <f>$D$4*'CDS 2 Calculations'!F36</f>
        <v>16127.999999999996</v>
      </c>
      <c r="I4" s="109">
        <f>$D$5*'CDS 2 Calculations'!G36</f>
        <v>33250</v>
      </c>
      <c r="J4" s="109">
        <f>$D$6*'CDS 2 Calculations'!H36</f>
        <v>19781.287499999999</v>
      </c>
      <c r="K4" s="109">
        <f>$D$7*'CDS 2 Calculations'!I36</f>
        <v>17825.706000000002</v>
      </c>
      <c r="L4" s="107">
        <f>$D$8*'CDS 2 Calculations'!J36</f>
        <v>1687.5</v>
      </c>
    </row>
    <row r="5" spans="2:12" ht="21" thickBot="1">
      <c r="B5" s="77" t="s">
        <v>81</v>
      </c>
      <c r="C5" s="6"/>
      <c r="D5" s="144">
        <v>50</v>
      </c>
      <c r="E5" s="78"/>
      <c r="G5" s="114" t="s">
        <v>241</v>
      </c>
      <c r="H5" s="110">
        <f>$D$4*'CDS 2 Calculations'!F37</f>
        <v>0</v>
      </c>
      <c r="I5" s="110">
        <f>$D$5*'CDS 2 Calculations'!G37</f>
        <v>21875</v>
      </c>
      <c r="J5" s="110">
        <f>$D$6*'CDS 2 Calculations'!H37</f>
        <v>0</v>
      </c>
      <c r="K5" s="110">
        <f>$D$7*'CDS 2 Calculations'!I37</f>
        <v>0</v>
      </c>
      <c r="L5" s="105">
        <f>$D$8*'CDS 2 Calculations'!J37</f>
        <v>214.5</v>
      </c>
    </row>
    <row r="6" spans="2:12" ht="21" thickBot="1">
      <c r="B6" s="77" t="s">
        <v>156</v>
      </c>
      <c r="C6" s="6"/>
      <c r="D6" s="144">
        <v>75</v>
      </c>
      <c r="E6" s="78"/>
      <c r="G6" s="113" t="s">
        <v>18</v>
      </c>
      <c r="H6" s="109">
        <f>$D$4*'CDS 2 Calculations'!F38</f>
        <v>9939</v>
      </c>
      <c r="I6" s="109">
        <f>$D$5*'CDS 2 Calculations'!G38</f>
        <v>13681.2</v>
      </c>
      <c r="J6" s="109">
        <f>$D$6*'CDS 2 Calculations'!H38</f>
        <v>9450</v>
      </c>
      <c r="K6" s="109">
        <f>$D$7*'CDS 2 Calculations'!I38</f>
        <v>4389.915</v>
      </c>
      <c r="L6" s="107">
        <f>$D$8*'CDS 2 Calculations'!J38</f>
        <v>1852.6499999999996</v>
      </c>
    </row>
    <row r="7" spans="2:12" ht="21" thickBot="1">
      <c r="B7" s="77" t="s">
        <v>147</v>
      </c>
      <c r="C7" s="6"/>
      <c r="D7" s="144">
        <v>75</v>
      </c>
      <c r="E7" s="78"/>
      <c r="G7" s="114" t="s">
        <v>51</v>
      </c>
      <c r="H7" s="110">
        <f>$D$4*'CDS 2 Calculations'!F39</f>
        <v>13880.255000000001</v>
      </c>
      <c r="I7" s="110">
        <f>$D$5*'CDS 2 Calculations'!G39</f>
        <v>42892.978999999999</v>
      </c>
      <c r="J7" s="110">
        <f>$D$6*'CDS 2 Calculations'!H39</f>
        <v>16536</v>
      </c>
      <c r="K7" s="110">
        <f>$D$7*'CDS 2 Calculations'!I39</f>
        <v>8483.0324250000012</v>
      </c>
      <c r="L7" s="105">
        <f>$D$8*'CDS 2 Calculations'!J39</f>
        <v>2590.2217499999997</v>
      </c>
    </row>
    <row r="8" spans="2:12" ht="21" thickBot="1">
      <c r="B8" s="97" t="s">
        <v>157</v>
      </c>
      <c r="C8" s="81"/>
      <c r="D8" s="144">
        <v>150</v>
      </c>
      <c r="E8" s="82"/>
      <c r="G8" s="117" t="s">
        <v>56</v>
      </c>
      <c r="H8" s="118">
        <f>$D$4*'CDS 2 Calculations'!F40</f>
        <v>3706</v>
      </c>
      <c r="I8" s="118">
        <f>$D$5*'CDS 2 Calculations'!G40</f>
        <v>766.5</v>
      </c>
      <c r="J8" s="118">
        <f>$D$6*'CDS 2 Calculations'!H40</f>
        <v>2767.5</v>
      </c>
      <c r="K8" s="118">
        <f>$D$7*'CDS 2 Calculations'!I40</f>
        <v>3114.75</v>
      </c>
      <c r="L8" s="119">
        <f>$D$8*'CDS 2 Calculations'!J40</f>
        <v>51.000000000000007</v>
      </c>
    </row>
    <row r="9" spans="2:12" ht="21" thickBot="1">
      <c r="B9" s="124" t="s">
        <v>245</v>
      </c>
      <c r="C9" s="122"/>
      <c r="D9" s="122"/>
      <c r="E9" s="123"/>
      <c r="G9" s="115" t="s">
        <v>268</v>
      </c>
      <c r="H9" s="116">
        <f>$D$4*'CDS 2 Calculations'!F41</f>
        <v>-1458.2550000000049</v>
      </c>
      <c r="I9" s="116">
        <f>$D$5*'CDS 2 Calculations'!G41</f>
        <v>-10409.479000000003</v>
      </c>
      <c r="J9" s="116">
        <f>$D$6*'CDS 2 Calculations'!H41</f>
        <v>477.78749999999997</v>
      </c>
      <c r="K9" s="116">
        <f>$D$7*'CDS 2 Calculations'!I41</f>
        <v>6227.9235750000007</v>
      </c>
      <c r="L9" s="106">
        <f>$D$8*'CDS 2 Calculations'!J41</f>
        <v>-953.72174999999947</v>
      </c>
    </row>
    <row r="10" spans="2:12" ht="21" thickBot="1">
      <c r="B10" s="96" t="s">
        <v>9</v>
      </c>
      <c r="C10" s="100" t="s">
        <v>246</v>
      </c>
      <c r="D10" s="104" t="s">
        <v>16</v>
      </c>
      <c r="E10" s="78"/>
    </row>
    <row r="11" spans="2:12" ht="19" thickBot="1">
      <c r="B11" s="77" t="s">
        <v>1</v>
      </c>
      <c r="C11" s="98" t="s">
        <v>38</v>
      </c>
      <c r="D11" s="144">
        <v>35</v>
      </c>
      <c r="E11" s="78"/>
      <c r="G11" s="205" t="s">
        <v>256</v>
      </c>
      <c r="H11" s="206"/>
      <c r="I11" s="206"/>
      <c r="J11" s="206"/>
      <c r="K11" s="206"/>
      <c r="L11" s="207"/>
    </row>
    <row r="12" spans="2:12" ht="19" thickBot="1">
      <c r="B12" s="77" t="s">
        <v>247</v>
      </c>
      <c r="C12" s="98" t="s">
        <v>38</v>
      </c>
      <c r="D12" s="144">
        <v>20</v>
      </c>
      <c r="E12" s="78"/>
      <c r="G12" s="208"/>
      <c r="H12" s="209"/>
      <c r="I12" s="209"/>
      <c r="J12" s="209"/>
      <c r="K12" s="209"/>
      <c r="L12" s="210"/>
    </row>
    <row r="13" spans="2:12" ht="19" thickBot="1">
      <c r="B13" s="77" t="s">
        <v>2</v>
      </c>
      <c r="C13" s="98" t="s">
        <v>21</v>
      </c>
      <c r="D13" s="144">
        <v>5.5</v>
      </c>
      <c r="E13" s="78"/>
      <c r="G13" s="141"/>
      <c r="H13" s="142"/>
      <c r="I13" s="142"/>
      <c r="J13" s="142"/>
      <c r="K13" s="142"/>
      <c r="L13" s="143"/>
    </row>
    <row r="14" spans="2:12" ht="19" thickBot="1">
      <c r="B14" s="77" t="s">
        <v>3</v>
      </c>
      <c r="C14" s="98" t="s">
        <v>15</v>
      </c>
      <c r="D14" s="144">
        <v>19.46</v>
      </c>
      <c r="E14" s="78"/>
      <c r="G14" s="139" t="s">
        <v>9</v>
      </c>
      <c r="H14" s="140"/>
      <c r="I14" s="134" t="s">
        <v>259</v>
      </c>
      <c r="J14" s="134" t="s">
        <v>260</v>
      </c>
      <c r="K14" s="134" t="s">
        <v>261</v>
      </c>
      <c r="L14" s="135" t="s">
        <v>262</v>
      </c>
    </row>
    <row r="15" spans="2:12" ht="19" thickBot="1">
      <c r="B15" s="77" t="s">
        <v>23</v>
      </c>
      <c r="C15" s="98" t="s">
        <v>36</v>
      </c>
      <c r="D15" s="144">
        <v>150</v>
      </c>
      <c r="E15" s="78"/>
      <c r="G15" s="126" t="s">
        <v>2</v>
      </c>
      <c r="H15" s="127"/>
      <c r="I15" s="128">
        <v>3.05</v>
      </c>
      <c r="J15" s="128">
        <v>4.3499999999999996</v>
      </c>
      <c r="K15" s="128">
        <v>6.88</v>
      </c>
      <c r="L15" s="136">
        <v>5.5</v>
      </c>
    </row>
    <row r="16" spans="2:12" ht="19" thickBot="1">
      <c r="B16" s="97" t="s">
        <v>248</v>
      </c>
      <c r="C16" s="99" t="s">
        <v>251</v>
      </c>
      <c r="D16" s="144">
        <v>17.899999999999999</v>
      </c>
      <c r="E16" s="82"/>
      <c r="G16" s="77" t="s">
        <v>3</v>
      </c>
      <c r="H16" s="125"/>
      <c r="I16" s="129">
        <v>9.4700000000000006</v>
      </c>
      <c r="J16" s="129">
        <v>15.61</v>
      </c>
      <c r="K16" s="129">
        <v>20.92</v>
      </c>
      <c r="L16" s="137">
        <v>19.760000000000002</v>
      </c>
    </row>
    <row r="17" spans="2:12" ht="20">
      <c r="B17" s="124" t="s">
        <v>249</v>
      </c>
      <c r="C17" s="122"/>
      <c r="D17" s="122"/>
      <c r="E17" s="123"/>
      <c r="G17" s="126" t="s">
        <v>23</v>
      </c>
      <c r="H17" s="127"/>
      <c r="I17" s="128">
        <v>104</v>
      </c>
      <c r="J17" s="128">
        <v>130.97999999999999</v>
      </c>
      <c r="K17" s="128">
        <v>181</v>
      </c>
      <c r="L17" s="136">
        <v>150</v>
      </c>
    </row>
    <row r="18" spans="2:12" ht="21" thickBot="1">
      <c r="B18" s="96" t="s">
        <v>250</v>
      </c>
      <c r="C18" s="101" t="s">
        <v>246</v>
      </c>
      <c r="D18" s="101" t="s">
        <v>16</v>
      </c>
      <c r="E18" s="78"/>
      <c r="G18" s="77" t="s">
        <v>248</v>
      </c>
      <c r="H18" s="125"/>
      <c r="I18" s="129">
        <v>8.43</v>
      </c>
      <c r="J18" s="129">
        <v>10.83</v>
      </c>
      <c r="K18" s="129">
        <v>12.38</v>
      </c>
      <c r="L18" s="137">
        <v>12.38</v>
      </c>
    </row>
    <row r="19" spans="2:12" ht="19" thickBot="1">
      <c r="B19" s="103" t="s">
        <v>42</v>
      </c>
      <c r="C19" s="102" t="s">
        <v>15</v>
      </c>
      <c r="D19" s="144">
        <v>125</v>
      </c>
      <c r="E19" s="78"/>
      <c r="G19" s="126" t="s">
        <v>257</v>
      </c>
      <c r="H19" s="127"/>
      <c r="I19" s="128">
        <v>54.77</v>
      </c>
      <c r="J19" s="128">
        <v>80.52</v>
      </c>
      <c r="K19" s="128">
        <v>112.24</v>
      </c>
      <c r="L19" s="136">
        <v>94.81</v>
      </c>
    </row>
    <row r="20" spans="2:12" ht="19" thickBot="1">
      <c r="B20" s="103" t="s">
        <v>43</v>
      </c>
      <c r="C20" s="102" t="s">
        <v>44</v>
      </c>
      <c r="D20" s="144">
        <v>1.43</v>
      </c>
      <c r="E20" s="78"/>
      <c r="G20" s="77" t="s">
        <v>43</v>
      </c>
      <c r="H20" s="125"/>
      <c r="I20" s="129">
        <v>1.32</v>
      </c>
      <c r="J20" s="129">
        <v>1.38</v>
      </c>
      <c r="K20" s="129">
        <v>1.44</v>
      </c>
      <c r="L20" s="137">
        <v>1.43</v>
      </c>
    </row>
    <row r="21" spans="2:12" ht="19" thickBot="1">
      <c r="B21" s="103" t="s">
        <v>41</v>
      </c>
      <c r="C21" s="102" t="s">
        <v>15</v>
      </c>
      <c r="D21" s="144">
        <v>170</v>
      </c>
      <c r="E21" s="78"/>
      <c r="G21" s="126" t="s">
        <v>41</v>
      </c>
      <c r="H21" s="127"/>
      <c r="I21" s="128">
        <v>98.9</v>
      </c>
      <c r="J21" s="128">
        <v>121.15</v>
      </c>
      <c r="K21" s="128">
        <v>158</v>
      </c>
      <c r="L21" s="136">
        <v>158</v>
      </c>
    </row>
    <row r="22" spans="2:12" ht="19" thickBot="1">
      <c r="B22" s="103" t="s">
        <v>45</v>
      </c>
      <c r="C22" s="102" t="s">
        <v>15</v>
      </c>
      <c r="D22" s="144">
        <v>95</v>
      </c>
      <c r="E22" s="78"/>
      <c r="G22" s="77" t="s">
        <v>45</v>
      </c>
      <c r="H22" s="125"/>
      <c r="I22" s="129">
        <v>55.66</v>
      </c>
      <c r="J22" s="129">
        <v>74.849999999999994</v>
      </c>
      <c r="K22" s="129">
        <v>96.75</v>
      </c>
      <c r="L22" s="137">
        <v>86.45</v>
      </c>
    </row>
    <row r="23" spans="2:12" ht="19" thickBot="1">
      <c r="B23" s="103" t="s">
        <v>46</v>
      </c>
      <c r="C23" s="102" t="s">
        <v>15</v>
      </c>
      <c r="D23" s="144">
        <v>150.71</v>
      </c>
      <c r="E23" s="78"/>
      <c r="G23" s="126" t="s">
        <v>46</v>
      </c>
      <c r="H23" s="127"/>
      <c r="I23" s="128">
        <v>94.8</v>
      </c>
      <c r="J23" s="128">
        <v>116.58</v>
      </c>
      <c r="K23" s="128">
        <v>194</v>
      </c>
      <c r="L23" s="136">
        <v>150.71</v>
      </c>
    </row>
    <row r="24" spans="2:12" ht="19" thickBot="1">
      <c r="B24" s="103" t="s">
        <v>207</v>
      </c>
      <c r="C24" s="102" t="s">
        <v>15</v>
      </c>
      <c r="D24" s="144">
        <v>169.67</v>
      </c>
      <c r="E24" s="78"/>
      <c r="G24" s="77" t="s">
        <v>207</v>
      </c>
      <c r="H24" s="131"/>
      <c r="I24" s="129">
        <v>88.94</v>
      </c>
      <c r="J24" s="129">
        <v>129.47</v>
      </c>
      <c r="K24" s="129">
        <v>190.94</v>
      </c>
      <c r="L24" s="137">
        <v>169.67</v>
      </c>
    </row>
    <row r="25" spans="2:12" ht="19" thickBot="1">
      <c r="B25" s="120" t="s">
        <v>47</v>
      </c>
      <c r="C25" s="121" t="s">
        <v>35</v>
      </c>
      <c r="D25" s="144">
        <v>0.75</v>
      </c>
      <c r="E25" s="82"/>
      <c r="G25" s="132" t="s">
        <v>47</v>
      </c>
      <c r="H25" s="133"/>
      <c r="I25" s="130">
        <v>0.4</v>
      </c>
      <c r="J25" s="130">
        <v>0.57999999999999996</v>
      </c>
      <c r="K25" s="130">
        <v>0.78</v>
      </c>
      <c r="L25" s="138">
        <v>0.75</v>
      </c>
    </row>
    <row r="26" spans="2:12" ht="20">
      <c r="B26" s="124" t="s">
        <v>253</v>
      </c>
      <c r="C26" s="122"/>
      <c r="D26" s="122"/>
      <c r="E26" s="123"/>
      <c r="G26" s="211" t="s">
        <v>258</v>
      </c>
      <c r="H26" s="212"/>
      <c r="I26" s="212"/>
      <c r="J26" s="212"/>
      <c r="K26" s="212"/>
      <c r="L26" s="213"/>
    </row>
    <row r="27" spans="2:12" ht="21" thickBot="1">
      <c r="B27" s="96" t="s">
        <v>9</v>
      </c>
      <c r="C27" s="101" t="s">
        <v>246</v>
      </c>
      <c r="D27" s="101" t="s">
        <v>254</v>
      </c>
      <c r="E27" s="78"/>
      <c r="G27" s="211"/>
      <c r="H27" s="212"/>
      <c r="I27" s="212"/>
      <c r="J27" s="212"/>
      <c r="K27" s="212"/>
      <c r="L27" s="213"/>
    </row>
    <row r="28" spans="2:12" ht="19" thickBot="1">
      <c r="B28" s="120" t="s">
        <v>33</v>
      </c>
      <c r="C28" s="121" t="s">
        <v>255</v>
      </c>
      <c r="D28" s="144">
        <v>14</v>
      </c>
      <c r="E28" s="82"/>
      <c r="G28" s="214"/>
      <c r="H28" s="215"/>
      <c r="I28" s="215"/>
      <c r="J28" s="215"/>
      <c r="K28" s="215"/>
      <c r="L28" s="216"/>
    </row>
  </sheetData>
  <mergeCells count="4">
    <mergeCell ref="G2:L2"/>
    <mergeCell ref="B2:E2"/>
    <mergeCell ref="G11:L12"/>
    <mergeCell ref="G26:L2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J36" sqref="J36"/>
    </sheetView>
  </sheetViews>
  <sheetFormatPr baseColWidth="10" defaultColWidth="10.83203125" defaultRowHeight="15" x14ac:dyDescent="0"/>
  <cols>
    <col min="1" max="1" width="10.83203125" style="85"/>
    <col min="2" max="2" width="21.5" style="85" customWidth="1"/>
    <col min="3" max="16384" width="10.83203125" style="85"/>
  </cols>
  <sheetData>
    <row r="1" spans="2:10" ht="16" thickBot="1"/>
    <row r="2" spans="2:10" ht="17" thickTop="1" thickBot="1">
      <c r="B2" s="217" t="s">
        <v>0</v>
      </c>
      <c r="C2" s="218"/>
      <c r="D2" s="219"/>
      <c r="F2" s="220" t="s">
        <v>238</v>
      </c>
      <c r="G2" s="220"/>
      <c r="H2" s="220"/>
      <c r="I2" s="220"/>
      <c r="J2" s="220"/>
    </row>
    <row r="3" spans="2:10" ht="16" thickTop="1">
      <c r="B3" s="86"/>
      <c r="C3" s="87"/>
      <c r="D3" s="88"/>
      <c r="F3" s="85" t="s">
        <v>155</v>
      </c>
      <c r="G3" s="85" t="s">
        <v>81</v>
      </c>
      <c r="H3" s="85" t="s">
        <v>156</v>
      </c>
      <c r="I3" s="85" t="s">
        <v>147</v>
      </c>
      <c r="J3" s="85" t="s">
        <v>157</v>
      </c>
    </row>
    <row r="4" spans="2:10">
      <c r="B4" s="89" t="s">
        <v>9</v>
      </c>
      <c r="C4" s="221" t="s">
        <v>10</v>
      </c>
      <c r="D4" s="222"/>
    </row>
    <row r="5" spans="2:10">
      <c r="B5" s="86" t="s">
        <v>2</v>
      </c>
      <c r="C5" s="90">
        <f>PCDS2!D13</f>
        <v>5.5</v>
      </c>
      <c r="D5" s="88" t="s">
        <v>21</v>
      </c>
      <c r="F5" s="85">
        <f>'Cow-Calf'!C14</f>
        <v>4</v>
      </c>
      <c r="G5" s="85">
        <f>'Dairy Steer'!C15</f>
        <v>32</v>
      </c>
      <c r="H5" s="85">
        <f>Sheep!C15</f>
        <v>10</v>
      </c>
      <c r="I5" s="85">
        <f>Goat!C14</f>
        <v>3.27</v>
      </c>
    </row>
    <row r="6" spans="2:10">
      <c r="B6" s="86" t="s">
        <v>3</v>
      </c>
      <c r="C6" s="90">
        <f>PCDS2!D14</f>
        <v>19.46</v>
      </c>
      <c r="D6" s="88" t="s">
        <v>15</v>
      </c>
      <c r="G6" s="85">
        <f>'Dairy Steer'!C16/100</f>
        <v>3.4</v>
      </c>
      <c r="I6" s="85">
        <f>Goat!C15</f>
        <v>0.17</v>
      </c>
    </row>
    <row r="7" spans="2:10">
      <c r="B7" s="86" t="s">
        <v>4</v>
      </c>
      <c r="C7" s="90">
        <v>22</v>
      </c>
      <c r="D7" s="88" t="s">
        <v>15</v>
      </c>
      <c r="F7" s="85">
        <f>'Cow-Calf'!C15/100</f>
        <v>0.6</v>
      </c>
      <c r="G7" s="85">
        <f>'Dairy Steer'!C17/100</f>
        <v>0.18</v>
      </c>
      <c r="I7" s="85">
        <f>Goat!C16</f>
        <v>0.2</v>
      </c>
    </row>
    <row r="8" spans="2:10">
      <c r="B8" s="86" t="s">
        <v>23</v>
      </c>
      <c r="C8" s="90">
        <f>PCDS2!D15</f>
        <v>150</v>
      </c>
      <c r="D8" s="88" t="s">
        <v>36</v>
      </c>
      <c r="F8" s="85">
        <f>'Cow-Calf'!C16</f>
        <v>2.1</v>
      </c>
      <c r="H8" s="85">
        <f>Sheep!C16</f>
        <v>0.4</v>
      </c>
      <c r="I8" s="85">
        <f>Goat!C17</f>
        <v>0.09</v>
      </c>
    </row>
    <row r="9" spans="2:10">
      <c r="B9" s="86" t="s">
        <v>6</v>
      </c>
      <c r="C9" s="90">
        <v>1.4</v>
      </c>
      <c r="D9" s="88" t="s">
        <v>15</v>
      </c>
      <c r="I9" s="85">
        <f>Goat!C18</f>
        <v>2.0099999999999998</v>
      </c>
    </row>
    <row r="10" spans="2:10">
      <c r="B10" s="86" t="s">
        <v>7</v>
      </c>
      <c r="C10" s="90">
        <v>2.5</v>
      </c>
      <c r="D10" s="88" t="s">
        <v>15</v>
      </c>
      <c r="I10" s="85">
        <f>Goat!C19</f>
        <v>0.01</v>
      </c>
    </row>
    <row r="11" spans="2:10">
      <c r="B11" s="86" t="s">
        <v>8</v>
      </c>
      <c r="C11" s="90">
        <f>PCDS2!D16</f>
        <v>17.899999999999999</v>
      </c>
      <c r="D11" s="88" t="s">
        <v>37</v>
      </c>
      <c r="J11" s="85">
        <f>Turkey!C14</f>
        <v>0.69</v>
      </c>
    </row>
    <row r="12" spans="2:10">
      <c r="B12" s="86" t="s">
        <v>50</v>
      </c>
      <c r="C12" s="90">
        <f>PCDS2!D11</f>
        <v>35</v>
      </c>
      <c r="D12" s="88" t="s">
        <v>38</v>
      </c>
      <c r="F12" s="85">
        <f>'Cow-Calf'!C12</f>
        <v>2.4500000000000002</v>
      </c>
      <c r="G12" s="85">
        <f>'Dairy Steer'!C13</f>
        <v>0.5</v>
      </c>
      <c r="H12" s="85">
        <f>Sheep!C13</f>
        <v>0.2</v>
      </c>
      <c r="I12" s="85">
        <f>Goat!C12</f>
        <v>0.3</v>
      </c>
    </row>
    <row r="13" spans="2:10">
      <c r="B13" s="86" t="s">
        <v>11</v>
      </c>
      <c r="C13" s="90">
        <f>PCDS2!D12</f>
        <v>20</v>
      </c>
      <c r="D13" s="88" t="s">
        <v>38</v>
      </c>
      <c r="F13" s="85">
        <f>'Cow-Calf'!C13</f>
        <v>2.4500000000000002</v>
      </c>
      <c r="G13" s="85">
        <f>'Dairy Steer'!C14</f>
        <v>0.5</v>
      </c>
      <c r="H13" s="85">
        <f>Sheep!C14</f>
        <v>0.2</v>
      </c>
      <c r="I13" s="85">
        <f>Goat!C13</f>
        <v>0.3</v>
      </c>
    </row>
    <row r="14" spans="2:10">
      <c r="B14" s="86" t="s">
        <v>25</v>
      </c>
      <c r="C14" s="90">
        <v>3</v>
      </c>
      <c r="D14" s="88" t="s">
        <v>38</v>
      </c>
      <c r="F14" s="85">
        <f>'Cow-Calf'!C17</f>
        <v>4</v>
      </c>
    </row>
    <row r="15" spans="2:10">
      <c r="B15" s="86" t="s">
        <v>42</v>
      </c>
      <c r="C15" s="90">
        <f>PCDS2!D19</f>
        <v>125</v>
      </c>
      <c r="D15" s="88" t="s">
        <v>15</v>
      </c>
      <c r="G15" s="85">
        <f>350/100</f>
        <v>3.5</v>
      </c>
    </row>
    <row r="16" spans="2:10">
      <c r="B16" s="86" t="s">
        <v>43</v>
      </c>
      <c r="C16" s="90">
        <f>PCDS2!D20</f>
        <v>1.43</v>
      </c>
      <c r="D16" s="88" t="s">
        <v>44</v>
      </c>
      <c r="J16" s="85">
        <v>1</v>
      </c>
    </row>
    <row r="17" spans="2:10">
      <c r="B17" s="86"/>
      <c r="C17" s="87"/>
      <c r="D17" s="88"/>
    </row>
    <row r="18" spans="2:10">
      <c r="B18" s="89" t="s">
        <v>40</v>
      </c>
      <c r="C18" s="221" t="s">
        <v>16</v>
      </c>
      <c r="D18" s="222"/>
    </row>
    <row r="19" spans="2:10">
      <c r="B19" s="86" t="s">
        <v>41</v>
      </c>
      <c r="C19" s="90">
        <f>PCDS2!D21</f>
        <v>170</v>
      </c>
      <c r="D19" s="88" t="s">
        <v>15</v>
      </c>
      <c r="F19" s="85">
        <f>(500/100)*0.72</f>
        <v>3.5999999999999996</v>
      </c>
    </row>
    <row r="20" spans="2:10">
      <c r="B20" s="86" t="s">
        <v>45</v>
      </c>
      <c r="C20" s="90">
        <f>PCDS2!D22</f>
        <v>95</v>
      </c>
      <c r="D20" s="88" t="s">
        <v>15</v>
      </c>
      <c r="G20" s="85">
        <f>700/100</f>
        <v>7</v>
      </c>
    </row>
    <row r="21" spans="2:10">
      <c r="B21" s="86" t="s">
        <v>46</v>
      </c>
      <c r="C21" s="90">
        <f>PCDS2!D23</f>
        <v>150.71</v>
      </c>
      <c r="D21" s="88" t="s">
        <v>15</v>
      </c>
      <c r="H21" s="85">
        <f>(125/100)*1.24</f>
        <v>1.55</v>
      </c>
    </row>
    <row r="22" spans="2:10">
      <c r="B22" s="86" t="s">
        <v>207</v>
      </c>
      <c r="C22" s="90">
        <f>PCDS2!D24</f>
        <v>169.67</v>
      </c>
      <c r="D22" s="88" t="s">
        <v>15</v>
      </c>
      <c r="I22" s="85">
        <f>80/100*1.53</f>
        <v>1.2240000000000002</v>
      </c>
    </row>
    <row r="23" spans="2:10">
      <c r="B23" s="86" t="s">
        <v>47</v>
      </c>
      <c r="C23" s="90">
        <f>PCDS2!D25</f>
        <v>0.75</v>
      </c>
      <c r="D23" s="88" t="s">
        <v>35</v>
      </c>
      <c r="J23" s="85">
        <v>15</v>
      </c>
    </row>
    <row r="24" spans="2:10">
      <c r="B24" s="86" t="s">
        <v>88</v>
      </c>
      <c r="C24" s="90">
        <v>1.1499999999999999</v>
      </c>
      <c r="D24" s="88" t="s">
        <v>35</v>
      </c>
      <c r="H24" s="85">
        <v>9</v>
      </c>
    </row>
    <row r="25" spans="2:10">
      <c r="B25" s="86" t="s">
        <v>94</v>
      </c>
      <c r="C25" s="90">
        <v>80</v>
      </c>
      <c r="D25" s="88" t="s">
        <v>15</v>
      </c>
      <c r="F25" s="85">
        <f>(1350/100)*0.18</f>
        <v>2.4299999999999997</v>
      </c>
    </row>
    <row r="26" spans="2:10">
      <c r="B26" s="86" t="s">
        <v>91</v>
      </c>
      <c r="C26" s="90">
        <v>88</v>
      </c>
      <c r="D26" s="88" t="s">
        <v>15</v>
      </c>
      <c r="H26" s="85">
        <f>150/100*0.15</f>
        <v>0.22499999999999998</v>
      </c>
    </row>
    <row r="27" spans="2:10">
      <c r="B27" s="86" t="s">
        <v>110</v>
      </c>
      <c r="C27" s="90">
        <v>100</v>
      </c>
      <c r="D27" s="88" t="s">
        <v>15</v>
      </c>
      <c r="I27" s="85">
        <f>150/100*0.2</f>
        <v>0.30000000000000004</v>
      </c>
    </row>
    <row r="28" spans="2:10" ht="16" thickBot="1">
      <c r="B28" s="91"/>
      <c r="C28" s="92"/>
      <c r="D28" s="93"/>
    </row>
    <row r="29" spans="2:10" ht="16" thickTop="1"/>
    <row r="30" spans="2:10">
      <c r="B30" s="87" t="s">
        <v>239</v>
      </c>
      <c r="F30" s="85">
        <f>25+15+20</f>
        <v>60</v>
      </c>
      <c r="G30" s="85">
        <f>20+7+16+16+15+9</f>
        <v>83</v>
      </c>
      <c r="H30" s="85">
        <f>8+5+5</f>
        <v>18</v>
      </c>
      <c r="I30" s="85">
        <f>8.08+3+6.35+5.48</f>
        <v>22.91</v>
      </c>
      <c r="J30" s="85">
        <f>0.34+0.07+0.06+0.13</f>
        <v>0.60000000000000009</v>
      </c>
    </row>
    <row r="31" spans="2:10">
      <c r="B31" s="86" t="s">
        <v>34</v>
      </c>
      <c r="C31" s="94">
        <v>0.09</v>
      </c>
      <c r="D31" s="88"/>
      <c r="F31" s="95">
        <f>C5*F5+C7*F7+C8*F8+C12*F12+C13*F13+C14*F14+F30</f>
        <v>556.95000000000005</v>
      </c>
      <c r="G31" s="95">
        <f>C5*G5+C6*G6+C7*G7+C12*G12+C13*G13+C15*G15+G30</f>
        <v>794.12400000000002</v>
      </c>
      <c r="H31" s="95">
        <f>H5*C5+C8*H8+C12*H12+C13*H13+H30</f>
        <v>144</v>
      </c>
      <c r="I31" s="95">
        <f>C5*I5+C6*I6+C7*I7+C8*I8+C9*I9+C10*I10+C12*I12+C13*I13+I30</f>
        <v>81.4422</v>
      </c>
      <c r="J31" s="95">
        <f>C11*J11+C16*J16+J30</f>
        <v>14.380999999999997</v>
      </c>
    </row>
    <row r="32" spans="2:10">
      <c r="B32" s="86" t="s">
        <v>33</v>
      </c>
      <c r="C32" s="90">
        <f>PCDS2!D28</f>
        <v>14</v>
      </c>
      <c r="D32" s="88" t="s">
        <v>39</v>
      </c>
      <c r="F32" s="85">
        <v>8</v>
      </c>
      <c r="G32" s="85">
        <v>2</v>
      </c>
      <c r="H32" s="85">
        <v>5</v>
      </c>
      <c r="I32" s="85">
        <v>2</v>
      </c>
      <c r="J32" s="85">
        <v>0.16</v>
      </c>
    </row>
    <row r="33" spans="2:12">
      <c r="B33" s="87" t="s">
        <v>240</v>
      </c>
      <c r="F33" s="85">
        <v>185.3</v>
      </c>
      <c r="G33" s="85">
        <v>15.33</v>
      </c>
      <c r="H33" s="85">
        <v>36.9</v>
      </c>
      <c r="I33" s="85">
        <v>41.53</v>
      </c>
      <c r="J33" s="85">
        <v>0.34</v>
      </c>
    </row>
    <row r="36" spans="2:12">
      <c r="B36" s="87" t="s">
        <v>28</v>
      </c>
      <c r="F36" s="95">
        <f>C19*F19+C25*F25</f>
        <v>806.39999999999986</v>
      </c>
      <c r="G36" s="95">
        <f>C20*G20</f>
        <v>665</v>
      </c>
      <c r="H36" s="95">
        <f>C21*H21+C24*H24+C26*H26</f>
        <v>263.75049999999999</v>
      </c>
      <c r="I36" s="95">
        <f>C22*I22+C27*I27</f>
        <v>237.67608000000001</v>
      </c>
      <c r="J36" s="95">
        <f>C23*J23</f>
        <v>11.25</v>
      </c>
      <c r="L36" s="95"/>
    </row>
    <row r="37" spans="2:12">
      <c r="B37" s="87" t="s">
        <v>241</v>
      </c>
      <c r="F37" s="95">
        <v>0</v>
      </c>
      <c r="G37" s="95">
        <f>C15*G15</f>
        <v>437.5</v>
      </c>
      <c r="H37" s="95">
        <v>0</v>
      </c>
      <c r="I37" s="95">
        <v>0</v>
      </c>
      <c r="J37" s="95">
        <f>C16*J16</f>
        <v>1.43</v>
      </c>
    </row>
    <row r="38" spans="2:12">
      <c r="B38" s="87" t="s">
        <v>18</v>
      </c>
      <c r="F38" s="95">
        <f>C5*F5+C7*F7+C8*F8+C12*F12+C13*F13+C14*F14</f>
        <v>496.95</v>
      </c>
      <c r="G38" s="95">
        <f>C5*G5+C6*G6+C7*G7+C12*G12+C13*G13</f>
        <v>273.62400000000002</v>
      </c>
      <c r="H38" s="95">
        <f>H5*C5+C8*H8+C12*H12+C13*H13</f>
        <v>126</v>
      </c>
      <c r="I38" s="95">
        <f>C5*I5+C6*I6+C7*I7+C8*I8+C9*I9+C10*I10+C12*I12+C13*I13</f>
        <v>58.532199999999996</v>
      </c>
      <c r="J38" s="95">
        <f>C11*J11</f>
        <v>12.350999999999997</v>
      </c>
      <c r="L38" s="95"/>
    </row>
    <row r="39" spans="2:12">
      <c r="B39" s="87" t="s">
        <v>51</v>
      </c>
      <c r="F39" s="95">
        <f>F30+F37+F38+($C$31/12)*6*F31+$C$32*F32</f>
        <v>694.0127500000001</v>
      </c>
      <c r="G39" s="95">
        <f t="shared" ref="G39:J39" si="0">G30+G37+G38+($C$31/12)*6*G31+$C$32*G32</f>
        <v>857.85958000000005</v>
      </c>
      <c r="H39" s="95">
        <f t="shared" si="0"/>
        <v>220.48</v>
      </c>
      <c r="I39" s="95">
        <f>I30+I37+I38+($C$31/12)*6*I31+$C$32*I32</f>
        <v>113.10709900000001</v>
      </c>
      <c r="J39" s="95">
        <f t="shared" si="0"/>
        <v>17.268144999999997</v>
      </c>
      <c r="L39" s="95"/>
    </row>
    <row r="40" spans="2:12">
      <c r="B40" s="87" t="s">
        <v>56</v>
      </c>
      <c r="F40" s="85">
        <f>F33</f>
        <v>185.3</v>
      </c>
      <c r="G40" s="85">
        <f t="shared" ref="G40:J40" si="1">G33</f>
        <v>15.33</v>
      </c>
      <c r="H40" s="85">
        <f t="shared" si="1"/>
        <v>36.9</v>
      </c>
      <c r="I40" s="85">
        <f t="shared" si="1"/>
        <v>41.53</v>
      </c>
      <c r="J40" s="85">
        <f t="shared" si="1"/>
        <v>0.34</v>
      </c>
    </row>
    <row r="41" spans="2:12">
      <c r="B41" s="87" t="s">
        <v>58</v>
      </c>
      <c r="F41" s="95">
        <f>F36-F39-F40</f>
        <v>-72.912750000000244</v>
      </c>
      <c r="G41" s="95">
        <f t="shared" ref="G41:J41" si="2">G36-G39-G40</f>
        <v>-208.18958000000006</v>
      </c>
      <c r="H41" s="95">
        <f t="shared" si="2"/>
        <v>6.3704999999999998</v>
      </c>
      <c r="I41" s="95">
        <f t="shared" si="2"/>
        <v>83.038981000000007</v>
      </c>
      <c r="J41" s="95">
        <f t="shared" si="2"/>
        <v>-6.3581449999999968</v>
      </c>
    </row>
  </sheetData>
  <mergeCells count="4">
    <mergeCell ref="B2:D2"/>
    <mergeCell ref="F2:J2"/>
    <mergeCell ref="C4:D4"/>
    <mergeCell ref="C18:D1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2"/>
  <sheetViews>
    <sheetView workbookViewId="0">
      <selection activeCell="I23" sqref="I23"/>
    </sheetView>
  </sheetViews>
  <sheetFormatPr baseColWidth="10" defaultColWidth="8.83203125" defaultRowHeight="14" x14ac:dyDescent="0"/>
  <cols>
    <col min="2" max="2" width="19.83203125" bestFit="1" customWidth="1"/>
    <col min="4" max="4" width="4.83203125" customWidth="1"/>
  </cols>
  <sheetData>
    <row r="1" spans="2:4" ht="15" thickBot="1"/>
    <row r="2" spans="2:4" ht="16" thickTop="1" thickBot="1">
      <c r="B2" s="225" t="s">
        <v>0</v>
      </c>
      <c r="C2" s="226"/>
      <c r="D2" s="227"/>
    </row>
    <row r="3" spans="2:4" ht="15" thickTop="1">
      <c r="B3" s="5"/>
      <c r="C3" s="6"/>
      <c r="D3" s="7"/>
    </row>
    <row r="4" spans="2:4">
      <c r="B4" s="8" t="s">
        <v>9</v>
      </c>
      <c r="C4" s="223" t="s">
        <v>10</v>
      </c>
      <c r="D4" s="224"/>
    </row>
    <row r="5" spans="2:4">
      <c r="B5" s="5" t="s">
        <v>2</v>
      </c>
      <c r="C5" s="14">
        <v>5.5</v>
      </c>
      <c r="D5" s="7" t="s">
        <v>21</v>
      </c>
    </row>
    <row r="6" spans="2:4">
      <c r="B6" s="5" t="s">
        <v>3</v>
      </c>
      <c r="C6" s="14">
        <v>19.760000000000002</v>
      </c>
      <c r="D6" s="7" t="s">
        <v>15</v>
      </c>
    </row>
    <row r="7" spans="2:4">
      <c r="B7" s="5" t="s">
        <v>4</v>
      </c>
      <c r="C7" s="14">
        <v>22</v>
      </c>
      <c r="D7" s="7" t="s">
        <v>15</v>
      </c>
    </row>
    <row r="8" spans="2:4">
      <c r="B8" s="5" t="s">
        <v>5</v>
      </c>
      <c r="C8" s="14">
        <v>0.16</v>
      </c>
      <c r="D8" s="7" t="s">
        <v>35</v>
      </c>
    </row>
    <row r="9" spans="2:4">
      <c r="B9" s="5" t="s">
        <v>23</v>
      </c>
      <c r="C9" s="14">
        <v>150</v>
      </c>
      <c r="D9" s="7" t="s">
        <v>36</v>
      </c>
    </row>
    <row r="10" spans="2:4">
      <c r="B10" s="5" t="s">
        <v>6</v>
      </c>
      <c r="C10" s="14">
        <v>1.4</v>
      </c>
      <c r="D10" s="7" t="s">
        <v>15</v>
      </c>
    </row>
    <row r="11" spans="2:4">
      <c r="B11" s="5" t="s">
        <v>7</v>
      </c>
      <c r="C11" s="14">
        <v>2.5</v>
      </c>
      <c r="D11" s="7" t="s">
        <v>15</v>
      </c>
    </row>
    <row r="12" spans="2:4">
      <c r="B12" s="5" t="s">
        <v>8</v>
      </c>
      <c r="C12" s="14">
        <v>12.38</v>
      </c>
      <c r="D12" s="7" t="s">
        <v>37</v>
      </c>
    </row>
    <row r="13" spans="2:4">
      <c r="B13" s="5" t="s">
        <v>50</v>
      </c>
      <c r="C13" s="14">
        <v>35</v>
      </c>
      <c r="D13" s="7" t="s">
        <v>38</v>
      </c>
    </row>
    <row r="14" spans="2:4">
      <c r="B14" s="5" t="s">
        <v>11</v>
      </c>
      <c r="C14" s="14">
        <v>20</v>
      </c>
      <c r="D14" s="7" t="s">
        <v>38</v>
      </c>
    </row>
    <row r="15" spans="2:4">
      <c r="B15" s="5" t="s">
        <v>25</v>
      </c>
      <c r="C15" s="14">
        <v>3</v>
      </c>
      <c r="D15" s="7" t="s">
        <v>38</v>
      </c>
    </row>
    <row r="16" spans="2:4">
      <c r="B16" s="5" t="s">
        <v>33</v>
      </c>
      <c r="C16" s="14">
        <v>14</v>
      </c>
      <c r="D16" s="7" t="s">
        <v>39</v>
      </c>
    </row>
    <row r="17" spans="2:4">
      <c r="B17" s="5" t="s">
        <v>34</v>
      </c>
      <c r="C17" s="34">
        <v>0.09</v>
      </c>
      <c r="D17" s="7"/>
    </row>
    <row r="18" spans="2:4">
      <c r="B18" s="5" t="s">
        <v>42</v>
      </c>
      <c r="C18" s="14">
        <v>94.81</v>
      </c>
      <c r="D18" s="7" t="s">
        <v>15</v>
      </c>
    </row>
    <row r="19" spans="2:4">
      <c r="B19" s="5" t="s">
        <v>43</v>
      </c>
      <c r="C19" s="14">
        <v>1.43</v>
      </c>
      <c r="D19" s="7" t="s">
        <v>44</v>
      </c>
    </row>
    <row r="20" spans="2:4">
      <c r="B20" s="5"/>
      <c r="C20" s="6"/>
      <c r="D20" s="7"/>
    </row>
    <row r="21" spans="2:4">
      <c r="B21" s="8" t="s">
        <v>40</v>
      </c>
      <c r="C21" s="223" t="s">
        <v>16</v>
      </c>
      <c r="D21" s="224"/>
    </row>
    <row r="22" spans="2:4">
      <c r="B22" s="5" t="s">
        <v>41</v>
      </c>
      <c r="C22" s="14">
        <v>158</v>
      </c>
      <c r="D22" s="7" t="s">
        <v>15</v>
      </c>
    </row>
    <row r="23" spans="2:4">
      <c r="B23" s="5" t="s">
        <v>45</v>
      </c>
      <c r="C23" s="14">
        <v>86.45</v>
      </c>
      <c r="D23" s="7" t="s">
        <v>15</v>
      </c>
    </row>
    <row r="24" spans="2:4">
      <c r="B24" s="5" t="s">
        <v>46</v>
      </c>
      <c r="C24" s="14">
        <v>150.71</v>
      </c>
      <c r="D24" s="7" t="s">
        <v>15</v>
      </c>
    </row>
    <row r="25" spans="2:4">
      <c r="B25" s="5" t="s">
        <v>207</v>
      </c>
      <c r="C25" s="14">
        <v>169.67</v>
      </c>
      <c r="D25" s="7" t="s">
        <v>15</v>
      </c>
    </row>
    <row r="26" spans="2:4">
      <c r="B26" s="5" t="s">
        <v>47</v>
      </c>
      <c r="C26" s="14">
        <v>0.75</v>
      </c>
      <c r="D26" s="7" t="s">
        <v>35</v>
      </c>
    </row>
    <row r="27" spans="2:4">
      <c r="B27" s="5" t="s">
        <v>88</v>
      </c>
      <c r="C27" s="14">
        <v>1.1499999999999999</v>
      </c>
      <c r="D27" s="7" t="s">
        <v>35</v>
      </c>
    </row>
    <row r="28" spans="2:4">
      <c r="B28" s="5" t="s">
        <v>94</v>
      </c>
      <c r="C28" s="14">
        <v>80</v>
      </c>
      <c r="D28" s="7" t="s">
        <v>15</v>
      </c>
    </row>
    <row r="29" spans="2:4">
      <c r="B29" s="5" t="s">
        <v>91</v>
      </c>
      <c r="C29" s="14">
        <v>88</v>
      </c>
      <c r="D29" s="7" t="s">
        <v>15</v>
      </c>
    </row>
    <row r="30" spans="2:4">
      <c r="B30" s="5" t="s">
        <v>110</v>
      </c>
      <c r="C30" s="14">
        <v>100</v>
      </c>
      <c r="D30" s="7" t="s">
        <v>15</v>
      </c>
    </row>
    <row r="31" spans="2:4" ht="15" thickBot="1">
      <c r="B31" s="31"/>
      <c r="C31" s="32"/>
      <c r="D31" s="33"/>
    </row>
    <row r="32" spans="2:4" ht="15" thickTop="1"/>
  </sheetData>
  <mergeCells count="3">
    <mergeCell ref="C4:D4"/>
    <mergeCell ref="C21:D21"/>
    <mergeCell ref="B2:D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workbookViewId="0">
      <selection activeCell="E16" sqref="E16"/>
    </sheetView>
  </sheetViews>
  <sheetFormatPr baseColWidth="10" defaultColWidth="8.83203125" defaultRowHeight="14" x14ac:dyDescent="0"/>
  <cols>
    <col min="1" max="1" width="3.5" customWidth="1"/>
    <col min="2" max="2" width="37.5" bestFit="1" customWidth="1"/>
    <col min="3" max="3" width="10.6640625" bestFit="1" customWidth="1"/>
    <col min="4" max="4" width="10.33203125" customWidth="1"/>
    <col min="5" max="5" width="9.5" bestFit="1" customWidth="1"/>
    <col min="6" max="6" width="7.33203125" customWidth="1"/>
    <col min="7" max="7" width="2" customWidth="1"/>
    <col min="8" max="8" width="10.5" customWidth="1"/>
    <col min="10" max="10" width="36.1640625" customWidth="1"/>
    <col min="13" max="13" width="13.33203125" bestFit="1" customWidth="1"/>
  </cols>
  <sheetData>
    <row r="1" spans="2:13" ht="9" customHeight="1" thickBot="1"/>
    <row r="2" spans="2:13" ht="20" thickTop="1" thickBot="1">
      <c r="B2" s="228" t="s">
        <v>59</v>
      </c>
      <c r="C2" s="229"/>
      <c r="D2" s="229"/>
      <c r="E2" s="229"/>
      <c r="F2" s="229"/>
      <c r="G2" s="229"/>
      <c r="H2" s="230"/>
      <c r="J2" s="228" t="s">
        <v>61</v>
      </c>
      <c r="K2" s="229"/>
      <c r="L2" s="229"/>
      <c r="M2" s="230"/>
    </row>
    <row r="3" spans="2:13" ht="15" thickTop="1">
      <c r="B3" s="5"/>
      <c r="C3" s="6"/>
      <c r="D3" s="6"/>
      <c r="E3" s="6"/>
      <c r="F3" s="6"/>
      <c r="G3" s="6"/>
      <c r="H3" s="7"/>
      <c r="J3" s="5"/>
      <c r="K3" s="6"/>
      <c r="L3" s="6"/>
      <c r="M3" s="7"/>
    </row>
    <row r="4" spans="2:13">
      <c r="B4" s="5"/>
      <c r="C4" s="237" t="s">
        <v>12</v>
      </c>
      <c r="D4" s="237"/>
      <c r="E4" s="237" t="s">
        <v>16</v>
      </c>
      <c r="F4" s="237"/>
      <c r="G4" s="6"/>
      <c r="H4" s="7" t="s">
        <v>27</v>
      </c>
      <c r="J4" s="8" t="s">
        <v>62</v>
      </c>
      <c r="K4" s="237"/>
      <c r="L4" s="237"/>
      <c r="M4" s="23"/>
    </row>
    <row r="5" spans="2:13">
      <c r="B5" s="8" t="s">
        <v>13</v>
      </c>
      <c r="C5" s="6"/>
      <c r="D5" s="6"/>
      <c r="E5" s="6"/>
      <c r="F5" s="6"/>
      <c r="G5" s="6"/>
      <c r="H5" s="7"/>
      <c r="J5" s="13" t="s">
        <v>63</v>
      </c>
      <c r="K5" s="6"/>
      <c r="L5" s="6"/>
      <c r="M5" s="24">
        <v>850</v>
      </c>
    </row>
    <row r="6" spans="2:13">
      <c r="B6" s="5" t="s">
        <v>92</v>
      </c>
      <c r="C6" s="6">
        <v>500</v>
      </c>
      <c r="D6" s="6" t="s">
        <v>14</v>
      </c>
      <c r="E6" s="14">
        <f>Assumptions!C22</f>
        <v>158</v>
      </c>
      <c r="F6" s="6" t="s">
        <v>15</v>
      </c>
      <c r="G6" s="6"/>
      <c r="H6" s="11">
        <f>(C6*(E6/100))*0.72</f>
        <v>568.79999999999995</v>
      </c>
      <c r="J6" s="5" t="s">
        <v>65</v>
      </c>
      <c r="K6" s="6"/>
      <c r="L6" s="6"/>
      <c r="M6" s="24">
        <v>160</v>
      </c>
    </row>
    <row r="7" spans="2:13">
      <c r="B7" s="9" t="s">
        <v>93</v>
      </c>
      <c r="C7" s="2">
        <v>1350</v>
      </c>
      <c r="D7" s="2" t="s">
        <v>14</v>
      </c>
      <c r="E7" s="3">
        <f>Assumptions!C28</f>
        <v>80</v>
      </c>
      <c r="F7" s="2" t="s">
        <v>15</v>
      </c>
      <c r="G7" s="2"/>
      <c r="H7" s="10">
        <f>(C7*(E7/100))*0.18</f>
        <v>194.4</v>
      </c>
      <c r="J7" s="22" t="s">
        <v>66</v>
      </c>
      <c r="K7" s="2"/>
      <c r="L7" s="2"/>
      <c r="M7" s="25">
        <v>72</v>
      </c>
    </row>
    <row r="8" spans="2:13">
      <c r="B8" s="8" t="s">
        <v>28</v>
      </c>
      <c r="C8" s="6"/>
      <c r="D8" s="6"/>
      <c r="E8" s="6"/>
      <c r="F8" s="6"/>
      <c r="G8" s="6"/>
      <c r="H8" s="29">
        <f>SUM(H6:H7)</f>
        <v>763.19999999999993</v>
      </c>
      <c r="J8" s="8" t="s">
        <v>64</v>
      </c>
      <c r="K8" s="6"/>
      <c r="L8" s="6"/>
      <c r="M8" s="26">
        <f>SUM(M5:M7)</f>
        <v>1082</v>
      </c>
    </row>
    <row r="9" spans="2:13">
      <c r="B9" s="5"/>
      <c r="C9" s="6"/>
      <c r="D9" s="6"/>
      <c r="E9" s="6"/>
      <c r="F9" s="6"/>
      <c r="G9" s="6"/>
      <c r="H9" s="12"/>
      <c r="J9" s="8"/>
      <c r="K9" s="6"/>
      <c r="L9" s="6"/>
      <c r="M9" s="7"/>
    </row>
    <row r="10" spans="2:13">
      <c r="B10" s="8" t="s">
        <v>17</v>
      </c>
      <c r="C10" s="6"/>
      <c r="D10" s="6"/>
      <c r="E10" s="6"/>
      <c r="F10" s="6"/>
      <c r="G10" s="6"/>
      <c r="H10" s="12"/>
      <c r="J10" s="8" t="s">
        <v>67</v>
      </c>
      <c r="K10" s="6"/>
      <c r="L10" s="6"/>
      <c r="M10" s="24"/>
    </row>
    <row r="11" spans="2:13">
      <c r="B11" s="13" t="s">
        <v>18</v>
      </c>
      <c r="C11" s="6"/>
      <c r="D11" s="6"/>
      <c r="E11" s="6"/>
      <c r="F11" s="6"/>
      <c r="G11" s="6"/>
      <c r="H11" s="12"/>
      <c r="J11" s="13" t="s">
        <v>68</v>
      </c>
      <c r="K11" s="6"/>
      <c r="L11" s="6"/>
      <c r="M11" s="24">
        <v>1800</v>
      </c>
    </row>
    <row r="12" spans="2:13">
      <c r="B12" s="5" t="s">
        <v>1</v>
      </c>
      <c r="C12" s="6">
        <v>2.4500000000000002</v>
      </c>
      <c r="D12" s="6" t="s">
        <v>19</v>
      </c>
      <c r="E12" s="14">
        <f>Assumptions!C13</f>
        <v>35</v>
      </c>
      <c r="F12" s="6" t="s">
        <v>38</v>
      </c>
      <c r="G12" s="6"/>
      <c r="H12" s="15">
        <f>C12*E12</f>
        <v>85.75</v>
      </c>
      <c r="J12" s="5" t="s">
        <v>69</v>
      </c>
      <c r="K12" s="6"/>
      <c r="L12" s="6"/>
      <c r="M12" s="24">
        <v>900</v>
      </c>
    </row>
    <row r="13" spans="2:13">
      <c r="B13" s="5" t="s">
        <v>20</v>
      </c>
      <c r="C13" s="6">
        <v>2.4500000000000002</v>
      </c>
      <c r="D13" s="6" t="s">
        <v>19</v>
      </c>
      <c r="E13" s="14">
        <f>Assumptions!C14</f>
        <v>20</v>
      </c>
      <c r="F13" s="6" t="s">
        <v>38</v>
      </c>
      <c r="G13" s="6"/>
      <c r="H13" s="15">
        <f t="shared" ref="H13:H17" si="0">C13*E13</f>
        <v>49</v>
      </c>
      <c r="J13" s="5" t="s">
        <v>70</v>
      </c>
      <c r="K13" s="6"/>
      <c r="L13" s="6"/>
      <c r="M13" s="27">
        <v>25</v>
      </c>
    </row>
    <row r="14" spans="2:13">
      <c r="B14" s="5" t="s">
        <v>2</v>
      </c>
      <c r="C14" s="6">
        <v>4</v>
      </c>
      <c r="D14" s="6" t="s">
        <v>21</v>
      </c>
      <c r="E14" s="14">
        <f>Assumptions!C5</f>
        <v>5.5</v>
      </c>
      <c r="F14" s="6" t="s">
        <v>21</v>
      </c>
      <c r="G14" s="6"/>
      <c r="H14" s="15">
        <f t="shared" si="0"/>
        <v>22</v>
      </c>
      <c r="J14" s="9" t="s">
        <v>71</v>
      </c>
      <c r="K14" s="2"/>
      <c r="L14" s="2"/>
      <c r="M14" s="28">
        <v>3</v>
      </c>
    </row>
    <row r="15" spans="2:13">
      <c r="B15" s="5" t="s">
        <v>22</v>
      </c>
      <c r="C15" s="6">
        <v>60</v>
      </c>
      <c r="D15" s="6" t="s">
        <v>14</v>
      </c>
      <c r="E15" s="14">
        <f>Assumptions!C7</f>
        <v>22</v>
      </c>
      <c r="F15" s="6" t="s">
        <v>15</v>
      </c>
      <c r="G15" s="6"/>
      <c r="H15" s="15">
        <f>C15*(E15/100)</f>
        <v>13.2</v>
      </c>
      <c r="J15" s="8" t="s">
        <v>72</v>
      </c>
      <c r="K15" s="6"/>
      <c r="L15" s="6"/>
      <c r="M15" s="24">
        <f>((M11-M12)/M13)/M14</f>
        <v>12</v>
      </c>
    </row>
    <row r="16" spans="2:13">
      <c r="B16" s="5" t="s">
        <v>23</v>
      </c>
      <c r="C16" s="6">
        <v>2.1</v>
      </c>
      <c r="D16" s="6" t="s">
        <v>24</v>
      </c>
      <c r="E16" s="14">
        <f>Assumptions!C9</f>
        <v>150</v>
      </c>
      <c r="F16" s="6" t="s">
        <v>36</v>
      </c>
      <c r="G16" s="6"/>
      <c r="H16" s="15">
        <f t="shared" si="0"/>
        <v>315</v>
      </c>
      <c r="J16" s="5"/>
      <c r="K16" s="6"/>
      <c r="L16" s="6"/>
      <c r="M16" s="7"/>
    </row>
    <row r="17" spans="2:13">
      <c r="B17" s="9" t="s">
        <v>25</v>
      </c>
      <c r="C17" s="2">
        <v>4</v>
      </c>
      <c r="D17" s="2" t="s">
        <v>19</v>
      </c>
      <c r="E17" s="3">
        <f>Assumptions!C15</f>
        <v>3</v>
      </c>
      <c r="F17" s="2" t="s">
        <v>38</v>
      </c>
      <c r="G17" s="2"/>
      <c r="H17" s="16">
        <f t="shared" si="0"/>
        <v>12</v>
      </c>
      <c r="J17" s="8" t="s">
        <v>79</v>
      </c>
      <c r="K17" s="6"/>
      <c r="L17" s="6"/>
      <c r="M17" s="7"/>
    </row>
    <row r="18" spans="2:13">
      <c r="B18" s="5" t="s">
        <v>26</v>
      </c>
      <c r="C18" s="6"/>
      <c r="D18" s="6"/>
      <c r="E18" s="6"/>
      <c r="F18" s="6"/>
      <c r="G18" s="6"/>
      <c r="H18" s="11">
        <f>SUM(H12:H17)</f>
        <v>496.95</v>
      </c>
      <c r="J18" s="13" t="s">
        <v>80</v>
      </c>
      <c r="K18" s="6"/>
      <c r="L18" s="6"/>
      <c r="M18" s="7"/>
    </row>
    <row r="19" spans="2:13">
      <c r="B19" s="5"/>
      <c r="C19" s="6"/>
      <c r="D19" s="6"/>
      <c r="E19" s="6"/>
      <c r="F19" s="6"/>
      <c r="G19" s="6"/>
      <c r="H19" s="12"/>
      <c r="J19" s="5" t="s">
        <v>73</v>
      </c>
      <c r="K19" s="6"/>
      <c r="L19" s="6"/>
      <c r="M19" s="24">
        <v>4500</v>
      </c>
    </row>
    <row r="20" spans="2:13">
      <c r="B20" s="5" t="s">
        <v>29</v>
      </c>
      <c r="C20" s="6"/>
      <c r="D20" s="6"/>
      <c r="E20" s="6"/>
      <c r="F20" s="6"/>
      <c r="G20" s="6"/>
      <c r="H20" s="15">
        <v>25</v>
      </c>
      <c r="J20" s="5" t="s">
        <v>74</v>
      </c>
      <c r="K20" s="6"/>
      <c r="L20" s="6"/>
      <c r="M20" s="24">
        <v>2000</v>
      </c>
    </row>
    <row r="21" spans="2:13">
      <c r="B21" s="5" t="s">
        <v>30</v>
      </c>
      <c r="C21" s="6"/>
      <c r="D21" s="6"/>
      <c r="E21" s="6"/>
      <c r="F21" s="6"/>
      <c r="G21" s="6"/>
      <c r="H21" s="15">
        <v>15</v>
      </c>
      <c r="J21" s="5" t="s">
        <v>75</v>
      </c>
      <c r="K21" s="6"/>
      <c r="L21" s="6"/>
      <c r="M21" s="24">
        <v>3000</v>
      </c>
    </row>
    <row r="22" spans="2:13">
      <c r="B22" s="5" t="s">
        <v>31</v>
      </c>
      <c r="C22" s="6"/>
      <c r="D22" s="6"/>
      <c r="E22" s="6"/>
      <c r="F22" s="6"/>
      <c r="G22" s="6"/>
      <c r="H22" s="15">
        <v>20</v>
      </c>
      <c r="J22" s="5" t="s">
        <v>76</v>
      </c>
      <c r="K22" s="6"/>
      <c r="L22" s="6"/>
      <c r="M22" s="24">
        <v>11750</v>
      </c>
    </row>
    <row r="23" spans="2:13">
      <c r="B23" s="5" t="s">
        <v>32</v>
      </c>
      <c r="C23" s="6">
        <v>6</v>
      </c>
      <c r="D23" s="6" t="s">
        <v>48</v>
      </c>
      <c r="E23" s="34">
        <f>Assumptions!C17</f>
        <v>0.09</v>
      </c>
      <c r="F23" s="6"/>
      <c r="G23" s="6"/>
      <c r="H23" s="15">
        <f>(H18+H20+H21+H22)*(E23/12)*C23</f>
        <v>25.062750000000001</v>
      </c>
      <c r="J23" s="9" t="s">
        <v>77</v>
      </c>
      <c r="K23" s="2"/>
      <c r="L23" s="2"/>
      <c r="M23" s="25">
        <v>2000</v>
      </c>
    </row>
    <row r="24" spans="2:13">
      <c r="B24" s="9" t="s">
        <v>33</v>
      </c>
      <c r="C24" s="2">
        <v>8</v>
      </c>
      <c r="D24" s="2" t="s">
        <v>49</v>
      </c>
      <c r="E24" s="3">
        <f>Assumptions!C16</f>
        <v>14</v>
      </c>
      <c r="F24" s="2" t="s">
        <v>39</v>
      </c>
      <c r="G24" s="2"/>
      <c r="H24" s="16">
        <f>C24*E24</f>
        <v>112</v>
      </c>
      <c r="J24" s="8" t="s">
        <v>78</v>
      </c>
      <c r="K24" s="6"/>
      <c r="L24" s="6"/>
      <c r="M24" s="26">
        <f>SUM(M19:M23)</f>
        <v>23250</v>
      </c>
    </row>
    <row r="25" spans="2:13">
      <c r="B25" s="8" t="s">
        <v>51</v>
      </c>
      <c r="C25" s="6"/>
      <c r="D25" s="6"/>
      <c r="E25" s="6"/>
      <c r="F25" s="6"/>
      <c r="G25" s="6"/>
      <c r="H25" s="15">
        <f>SUM(H18,H20,H21,H22,H23,H24)</f>
        <v>694.0127500000001</v>
      </c>
      <c r="J25" s="5"/>
      <c r="K25" s="6"/>
      <c r="L25" s="6"/>
      <c r="M25" s="7"/>
    </row>
    <row r="26" spans="2:13">
      <c r="B26" s="5"/>
      <c r="C26" s="6"/>
      <c r="D26" s="6"/>
      <c r="E26" s="6"/>
      <c r="F26" s="6"/>
      <c r="G26" s="6"/>
      <c r="H26" s="12"/>
      <c r="J26" s="8" t="s">
        <v>64</v>
      </c>
      <c r="K26" s="6"/>
      <c r="L26" s="6"/>
      <c r="M26" s="26">
        <f>M24/50</f>
        <v>465</v>
      </c>
    </row>
    <row r="27" spans="2:13">
      <c r="B27" s="8" t="s">
        <v>52</v>
      </c>
      <c r="C27" s="6"/>
      <c r="D27" s="6"/>
      <c r="E27" s="6"/>
      <c r="F27" s="6"/>
      <c r="G27" s="6"/>
      <c r="H27" s="12"/>
      <c r="J27" s="8"/>
      <c r="K27" s="6"/>
      <c r="L27" s="6"/>
      <c r="M27" s="7"/>
    </row>
    <row r="28" spans="2:13">
      <c r="B28" s="5" t="s">
        <v>53</v>
      </c>
      <c r="C28" s="6"/>
      <c r="D28" s="6"/>
      <c r="E28" s="6"/>
      <c r="F28" s="6"/>
      <c r="G28" s="6"/>
      <c r="H28" s="15">
        <f>M28</f>
        <v>65.100000000000009</v>
      </c>
      <c r="J28" s="13" t="s">
        <v>181</v>
      </c>
      <c r="K28" s="6"/>
      <c r="L28" s="6"/>
      <c r="M28" s="26">
        <f>M26*0.14</f>
        <v>65.100000000000009</v>
      </c>
    </row>
    <row r="29" spans="2:13" ht="15" thickBot="1">
      <c r="B29" s="13" t="s">
        <v>54</v>
      </c>
      <c r="C29" s="6"/>
      <c r="D29" s="6"/>
      <c r="E29" s="6"/>
      <c r="F29" s="6"/>
      <c r="G29" s="6"/>
      <c r="H29" s="15">
        <f>M8*0.1</f>
        <v>108.2</v>
      </c>
      <c r="J29" s="234"/>
      <c r="K29" s="235"/>
      <c r="L29" s="235"/>
      <c r="M29" s="236"/>
    </row>
    <row r="30" spans="2:13" ht="15" thickTop="1">
      <c r="B30" s="9" t="s">
        <v>55</v>
      </c>
      <c r="C30" s="2"/>
      <c r="D30" s="2"/>
      <c r="E30" s="2"/>
      <c r="F30" s="2"/>
      <c r="G30" s="2"/>
      <c r="H30" s="16">
        <f>M15</f>
        <v>12</v>
      </c>
    </row>
    <row r="31" spans="2:13" ht="15" thickBot="1">
      <c r="B31" s="17" t="s">
        <v>56</v>
      </c>
      <c r="C31" s="4"/>
      <c r="D31" s="4"/>
      <c r="E31" s="4"/>
      <c r="F31" s="4"/>
      <c r="G31" s="4"/>
      <c r="H31" s="18">
        <f>SUM(H28:H30)</f>
        <v>185.3</v>
      </c>
      <c r="J31" t="s">
        <v>264</v>
      </c>
      <c r="M31">
        <f>100*((H33-H7)/(0.72*C6))</f>
        <v>190.25354166666668</v>
      </c>
    </row>
    <row r="32" spans="2:13" ht="15" thickTop="1">
      <c r="B32" s="5"/>
      <c r="C32" s="6"/>
      <c r="D32" s="6"/>
      <c r="E32" s="6"/>
      <c r="F32" s="6"/>
      <c r="G32" s="6"/>
      <c r="H32" s="12"/>
      <c r="J32" t="s">
        <v>265</v>
      </c>
      <c r="M32" s="50">
        <f>M31-E6</f>
        <v>32.253541666666678</v>
      </c>
    </row>
    <row r="33" spans="2:8">
      <c r="B33" s="8" t="s">
        <v>57</v>
      </c>
      <c r="C33" s="6"/>
      <c r="D33" s="6"/>
      <c r="E33" s="6"/>
      <c r="F33" s="6"/>
      <c r="G33" s="6"/>
      <c r="H33" s="15">
        <f>H25+H31</f>
        <v>879.31275000000005</v>
      </c>
    </row>
    <row r="34" spans="2:8">
      <c r="B34" s="5"/>
      <c r="C34" s="6"/>
      <c r="D34" s="6"/>
      <c r="E34" s="6"/>
      <c r="F34" s="6"/>
      <c r="G34" s="6"/>
      <c r="H34" s="7"/>
    </row>
    <row r="35" spans="2:8">
      <c r="B35" s="8" t="s">
        <v>268</v>
      </c>
      <c r="C35" s="6"/>
      <c r="D35" s="6"/>
      <c r="E35" s="6"/>
      <c r="F35" s="6"/>
      <c r="G35" s="6"/>
      <c r="H35" s="19">
        <f>H8-H33</f>
        <v>-116.11275000000012</v>
      </c>
    </row>
    <row r="36" spans="2:8">
      <c r="B36" s="5"/>
      <c r="C36" s="6"/>
      <c r="D36" s="6"/>
      <c r="E36" s="6"/>
      <c r="F36" s="6"/>
      <c r="G36" s="6"/>
      <c r="H36" s="7"/>
    </row>
    <row r="37" spans="2:8" ht="15.75" customHeight="1">
      <c r="B37" s="231" t="s">
        <v>60</v>
      </c>
      <c r="C37" s="232"/>
      <c r="D37" s="232"/>
      <c r="E37" s="232"/>
      <c r="F37" s="232"/>
      <c r="G37" s="232"/>
      <c r="H37" s="233"/>
    </row>
    <row r="38" spans="2:8" ht="16.5" customHeight="1" thickBot="1">
      <c r="B38" s="234"/>
      <c r="C38" s="235"/>
      <c r="D38" s="235"/>
      <c r="E38" s="235"/>
      <c r="F38" s="235"/>
      <c r="G38" s="235"/>
      <c r="H38" s="236"/>
    </row>
    <row r="39" spans="2:8" ht="15" thickTop="1"/>
    <row r="40" spans="2:8">
      <c r="B40" s="1"/>
      <c r="C40" s="1"/>
      <c r="D40" s="1"/>
      <c r="E40" s="1"/>
      <c r="F40" s="1"/>
      <c r="G40" s="1"/>
      <c r="H40" s="1"/>
    </row>
  </sheetData>
  <mergeCells count="7">
    <mergeCell ref="B2:H2"/>
    <mergeCell ref="B37:H38"/>
    <mergeCell ref="C4:D4"/>
    <mergeCell ref="E4:F4"/>
    <mergeCell ref="J2:M2"/>
    <mergeCell ref="K4:L4"/>
    <mergeCell ref="J29:M29"/>
  </mergeCells>
  <pageMargins left="0.7" right="0.7" top="0.75" bottom="0.75" header="0.3" footer="0.3"/>
  <pageSetup orientation="landscape"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0"/>
  <sheetViews>
    <sheetView workbookViewId="0">
      <selection activeCell="G32" sqref="G32"/>
    </sheetView>
  </sheetViews>
  <sheetFormatPr baseColWidth="10" defaultColWidth="8.83203125" defaultRowHeight="14" x14ac:dyDescent="0"/>
  <cols>
    <col min="2" max="2" width="37.5" bestFit="1" customWidth="1"/>
    <col min="4" max="4" width="10.83203125" customWidth="1"/>
    <col min="5" max="5" width="11.33203125" customWidth="1"/>
  </cols>
  <sheetData>
    <row r="1" spans="2:5" ht="15" thickBot="1"/>
    <row r="2" spans="2:5" ht="20" thickTop="1" thickBot="1">
      <c r="B2" s="228" t="s">
        <v>61</v>
      </c>
      <c r="C2" s="229"/>
      <c r="D2" s="229"/>
      <c r="E2" s="230"/>
    </row>
    <row r="3" spans="2:5" ht="15" thickTop="1">
      <c r="B3" s="5"/>
      <c r="C3" s="6"/>
      <c r="D3" s="6"/>
      <c r="E3" s="7"/>
    </row>
    <row r="4" spans="2:5">
      <c r="B4" s="8" t="s">
        <v>62</v>
      </c>
      <c r="C4" s="237"/>
      <c r="D4" s="237"/>
      <c r="E4" s="23"/>
    </row>
    <row r="5" spans="2:5">
      <c r="B5" s="13" t="s">
        <v>63</v>
      </c>
      <c r="C5" s="6"/>
      <c r="D5" s="6"/>
      <c r="E5" s="24">
        <v>850</v>
      </c>
    </row>
    <row r="6" spans="2:5">
      <c r="B6" s="5" t="s">
        <v>65</v>
      </c>
      <c r="C6" s="6"/>
      <c r="D6" s="6"/>
      <c r="E6" s="24">
        <v>160</v>
      </c>
    </row>
    <row r="7" spans="2:5">
      <c r="B7" s="22" t="s">
        <v>66</v>
      </c>
      <c r="C7" s="2"/>
      <c r="D7" s="2"/>
      <c r="E7" s="25">
        <v>72</v>
      </c>
    </row>
    <row r="8" spans="2:5">
      <c r="B8" s="8" t="s">
        <v>64</v>
      </c>
      <c r="C8" s="6"/>
      <c r="D8" s="6"/>
      <c r="E8" s="26">
        <f>SUM(E5:E7)</f>
        <v>1082</v>
      </c>
    </row>
    <row r="9" spans="2:5">
      <c r="B9" s="8"/>
      <c r="C9" s="6"/>
      <c r="D9" s="6"/>
      <c r="E9" s="7"/>
    </row>
    <row r="10" spans="2:5">
      <c r="B10" s="8" t="s">
        <v>67</v>
      </c>
      <c r="C10" s="6"/>
      <c r="D10" s="6"/>
      <c r="E10" s="24"/>
    </row>
    <row r="11" spans="2:5">
      <c r="B11" s="13" t="s">
        <v>68</v>
      </c>
      <c r="C11" s="6"/>
      <c r="D11" s="6"/>
      <c r="E11" s="24">
        <v>1800</v>
      </c>
    </row>
    <row r="12" spans="2:5">
      <c r="B12" s="5" t="s">
        <v>69</v>
      </c>
      <c r="C12" s="6"/>
      <c r="D12" s="6"/>
      <c r="E12" s="24">
        <v>900</v>
      </c>
    </row>
    <row r="13" spans="2:5">
      <c r="B13" s="5" t="s">
        <v>70</v>
      </c>
      <c r="C13" s="6"/>
      <c r="D13" s="6"/>
      <c r="E13" s="27">
        <v>25</v>
      </c>
    </row>
    <row r="14" spans="2:5">
      <c r="B14" s="9" t="s">
        <v>71</v>
      </c>
      <c r="C14" s="2"/>
      <c r="D14" s="2"/>
      <c r="E14" s="28">
        <v>3</v>
      </c>
    </row>
    <row r="15" spans="2:5">
      <c r="B15" s="8" t="s">
        <v>72</v>
      </c>
      <c r="C15" s="6"/>
      <c r="D15" s="6"/>
      <c r="E15" s="24">
        <f>((E11-E12)/E13)/E14</f>
        <v>12</v>
      </c>
    </row>
    <row r="16" spans="2:5">
      <c r="B16" s="5"/>
      <c r="C16" s="6"/>
      <c r="D16" s="6"/>
      <c r="E16" s="7"/>
    </row>
    <row r="17" spans="2:5">
      <c r="B17" s="8" t="s">
        <v>79</v>
      </c>
      <c r="C17" s="6"/>
      <c r="D17" s="6"/>
      <c r="E17" s="7"/>
    </row>
    <row r="18" spans="2:5">
      <c r="B18" s="13" t="s">
        <v>80</v>
      </c>
      <c r="C18" s="6"/>
      <c r="D18" s="6"/>
      <c r="E18" s="7"/>
    </row>
    <row r="19" spans="2:5">
      <c r="B19" s="5" t="s">
        <v>73</v>
      </c>
      <c r="C19" s="6"/>
      <c r="D19" s="6"/>
      <c r="E19" s="24">
        <v>4500</v>
      </c>
    </row>
    <row r="20" spans="2:5">
      <c r="B20" s="5" t="s">
        <v>74</v>
      </c>
      <c r="C20" s="6"/>
      <c r="D20" s="6"/>
      <c r="E20" s="24">
        <v>2000</v>
      </c>
    </row>
    <row r="21" spans="2:5">
      <c r="B21" s="5" t="s">
        <v>75</v>
      </c>
      <c r="C21" s="6"/>
      <c r="D21" s="6"/>
      <c r="E21" s="24">
        <v>3000</v>
      </c>
    </row>
    <row r="22" spans="2:5">
      <c r="B22" s="5" t="s">
        <v>76</v>
      </c>
      <c r="C22" s="6"/>
      <c r="D22" s="6"/>
      <c r="E22" s="24">
        <v>11750</v>
      </c>
    </row>
    <row r="23" spans="2:5">
      <c r="B23" s="9" t="s">
        <v>77</v>
      </c>
      <c r="C23" s="2"/>
      <c r="D23" s="2"/>
      <c r="E23" s="25">
        <v>2000</v>
      </c>
    </row>
    <row r="24" spans="2:5">
      <c r="B24" s="8" t="s">
        <v>78</v>
      </c>
      <c r="C24" s="6"/>
      <c r="D24" s="6"/>
      <c r="E24" s="26">
        <f>SUM(E19:E23)</f>
        <v>23250</v>
      </c>
    </row>
    <row r="25" spans="2:5">
      <c r="B25" s="5"/>
      <c r="C25" s="6"/>
      <c r="D25" s="6"/>
      <c r="E25" s="7"/>
    </row>
    <row r="26" spans="2:5">
      <c r="B26" s="8" t="s">
        <v>64</v>
      </c>
      <c r="C26" s="6"/>
      <c r="D26" s="6"/>
      <c r="E26" s="26">
        <f>E24/50</f>
        <v>465</v>
      </c>
    </row>
    <row r="27" spans="2:5">
      <c r="B27" s="8"/>
      <c r="C27" s="6"/>
      <c r="D27" s="6"/>
      <c r="E27" s="7"/>
    </row>
    <row r="28" spans="2:5">
      <c r="B28" s="13" t="s">
        <v>181</v>
      </c>
      <c r="C28" s="6"/>
      <c r="D28" s="6"/>
      <c r="E28" s="26">
        <f>E26*0.14</f>
        <v>65.100000000000009</v>
      </c>
    </row>
    <row r="29" spans="2:5" ht="15" thickBot="1">
      <c r="B29" s="234"/>
      <c r="C29" s="235"/>
      <c r="D29" s="235"/>
      <c r="E29" s="236"/>
    </row>
    <row r="30" spans="2:5" ht="15" thickTop="1"/>
  </sheetData>
  <mergeCells count="3">
    <mergeCell ref="B2:E2"/>
    <mergeCell ref="C4:D4"/>
    <mergeCell ref="B29:E29"/>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7"/>
  <sheetViews>
    <sheetView workbookViewId="0">
      <selection activeCell="J2" sqref="J2:M15"/>
    </sheetView>
  </sheetViews>
  <sheetFormatPr baseColWidth="10" defaultColWidth="8.83203125" defaultRowHeight="14" x14ac:dyDescent="0"/>
  <cols>
    <col min="2" max="2" width="37.5" bestFit="1" customWidth="1"/>
    <col min="8" max="8" width="9.83203125" bestFit="1" customWidth="1"/>
    <col min="10" max="10" width="35.83203125" customWidth="1"/>
    <col min="13" max="13" width="11.1640625" bestFit="1" customWidth="1"/>
  </cols>
  <sheetData>
    <row r="1" spans="2:13" ht="15" thickBot="1"/>
    <row r="2" spans="2:13" ht="20" thickTop="1" thickBot="1">
      <c r="B2" s="228" t="s">
        <v>82</v>
      </c>
      <c r="C2" s="229"/>
      <c r="D2" s="229"/>
      <c r="E2" s="229"/>
      <c r="F2" s="229"/>
      <c r="G2" s="229"/>
      <c r="H2" s="230"/>
      <c r="J2" s="228" t="s">
        <v>180</v>
      </c>
      <c r="K2" s="229"/>
      <c r="L2" s="229"/>
      <c r="M2" s="230"/>
    </row>
    <row r="3" spans="2:13" ht="15" thickTop="1">
      <c r="B3" s="5"/>
      <c r="C3" s="6"/>
      <c r="D3" s="6"/>
      <c r="E3" s="6"/>
      <c r="F3" s="6"/>
      <c r="G3" s="6"/>
      <c r="H3" s="7"/>
      <c r="J3" s="5"/>
      <c r="K3" s="6"/>
      <c r="L3" s="6"/>
      <c r="M3" s="7"/>
    </row>
    <row r="4" spans="2:13">
      <c r="B4" s="5"/>
      <c r="C4" s="237" t="s">
        <v>12</v>
      </c>
      <c r="D4" s="237"/>
      <c r="E4" s="237" t="s">
        <v>16</v>
      </c>
      <c r="F4" s="237"/>
      <c r="G4" s="6"/>
      <c r="H4" s="7" t="s">
        <v>27</v>
      </c>
      <c r="J4" s="8" t="s">
        <v>79</v>
      </c>
      <c r="K4" s="6"/>
      <c r="L4" s="6"/>
      <c r="M4" s="7"/>
    </row>
    <row r="5" spans="2:13">
      <c r="B5" s="8" t="s">
        <v>13</v>
      </c>
      <c r="C5" s="6"/>
      <c r="D5" s="6"/>
      <c r="E5" s="6"/>
      <c r="F5" s="6"/>
      <c r="G5" s="6"/>
      <c r="H5" s="7"/>
      <c r="J5" s="13" t="s">
        <v>137</v>
      </c>
      <c r="K5" s="6"/>
      <c r="L5" s="6"/>
      <c r="M5" s="7"/>
    </row>
    <row r="6" spans="2:13">
      <c r="B6" s="5" t="s">
        <v>81</v>
      </c>
      <c r="C6" s="6">
        <v>700</v>
      </c>
      <c r="D6" s="6" t="s">
        <v>14</v>
      </c>
      <c r="E6" s="14">
        <f>Assumptions!C23</f>
        <v>86.45</v>
      </c>
      <c r="F6" s="6" t="s">
        <v>15</v>
      </c>
      <c r="G6" s="6"/>
      <c r="H6" s="11">
        <f>C6*(E6/100)</f>
        <v>605.15</v>
      </c>
      <c r="J6" s="5" t="s">
        <v>139</v>
      </c>
      <c r="K6" s="6"/>
      <c r="L6" s="6"/>
      <c r="M6" s="24">
        <f>18000*0.1</f>
        <v>1800</v>
      </c>
    </row>
    <row r="7" spans="2:13">
      <c r="B7" s="5"/>
      <c r="C7" s="6"/>
      <c r="D7" s="6"/>
      <c r="E7" s="6"/>
      <c r="F7" s="6"/>
      <c r="G7" s="6"/>
      <c r="H7" s="12"/>
      <c r="J7" s="5" t="s">
        <v>75</v>
      </c>
      <c r="K7" s="6"/>
      <c r="L7" s="6"/>
      <c r="M7" s="24">
        <v>1500</v>
      </c>
    </row>
    <row r="8" spans="2:13">
      <c r="B8" s="8" t="s">
        <v>87</v>
      </c>
      <c r="C8" s="6"/>
      <c r="D8" s="6"/>
      <c r="E8" s="6"/>
      <c r="F8" s="6"/>
      <c r="G8" s="6"/>
      <c r="H8" s="12"/>
      <c r="J8" s="5" t="s">
        <v>138</v>
      </c>
      <c r="K8" s="6"/>
      <c r="L8" s="6"/>
      <c r="M8" s="24">
        <f>94*12.5</f>
        <v>1175</v>
      </c>
    </row>
    <row r="9" spans="2:13">
      <c r="B9" s="5" t="s">
        <v>81</v>
      </c>
      <c r="C9" s="6">
        <v>350</v>
      </c>
      <c r="D9" s="6" t="s">
        <v>14</v>
      </c>
      <c r="E9" s="14">
        <f>Assumptions!C18</f>
        <v>94.81</v>
      </c>
      <c r="F9" s="6" t="s">
        <v>15</v>
      </c>
      <c r="G9" s="6"/>
      <c r="H9" s="11">
        <f>C9*(E9/100)</f>
        <v>331.83500000000004</v>
      </c>
      <c r="J9" s="9" t="s">
        <v>77</v>
      </c>
      <c r="K9" s="2"/>
      <c r="L9" s="2"/>
      <c r="M9" s="25">
        <v>1000</v>
      </c>
    </row>
    <row r="10" spans="2:13">
      <c r="B10" s="5"/>
      <c r="C10" s="6"/>
      <c r="D10" s="6"/>
      <c r="E10" s="6"/>
      <c r="F10" s="6"/>
      <c r="G10" s="6"/>
      <c r="H10" s="12"/>
      <c r="J10" s="8" t="s">
        <v>78</v>
      </c>
      <c r="K10" s="6"/>
      <c r="L10" s="6"/>
      <c r="M10" s="26">
        <f>SUM(M6:M9)</f>
        <v>5475</v>
      </c>
    </row>
    <row r="11" spans="2:13">
      <c r="B11" s="8" t="s">
        <v>17</v>
      </c>
      <c r="C11" s="6"/>
      <c r="D11" s="6"/>
      <c r="E11" s="6"/>
      <c r="F11" s="6"/>
      <c r="G11" s="6"/>
      <c r="H11" s="12"/>
      <c r="J11" s="5"/>
      <c r="K11" s="6"/>
      <c r="L11" s="6"/>
      <c r="M11" s="7"/>
    </row>
    <row r="12" spans="2:13">
      <c r="B12" s="13" t="s">
        <v>18</v>
      </c>
      <c r="C12" s="6"/>
      <c r="D12" s="6"/>
      <c r="E12" s="6"/>
      <c r="F12" s="6"/>
      <c r="G12" s="6"/>
      <c r="H12" s="12"/>
      <c r="J12" s="8" t="s">
        <v>140</v>
      </c>
      <c r="K12" s="6"/>
      <c r="L12" s="6"/>
      <c r="M12" s="26">
        <f>M10/50</f>
        <v>109.5</v>
      </c>
    </row>
    <row r="13" spans="2:13">
      <c r="B13" s="5" t="s">
        <v>1</v>
      </c>
      <c r="C13" s="6">
        <v>0.5</v>
      </c>
      <c r="D13" s="6" t="s">
        <v>19</v>
      </c>
      <c r="E13" s="14">
        <f>Assumptions!C13</f>
        <v>35</v>
      </c>
      <c r="F13" s="6" t="s">
        <v>38</v>
      </c>
      <c r="G13" s="6"/>
      <c r="H13" s="15">
        <f>C13*E13</f>
        <v>17.5</v>
      </c>
      <c r="J13" s="8"/>
      <c r="K13" s="6"/>
      <c r="L13" s="6"/>
      <c r="M13" s="7"/>
    </row>
    <row r="14" spans="2:13">
      <c r="B14" s="5" t="s">
        <v>20</v>
      </c>
      <c r="C14" s="6">
        <v>0.5</v>
      </c>
      <c r="D14" s="6" t="s">
        <v>19</v>
      </c>
      <c r="E14" s="14">
        <f>Assumptions!C14</f>
        <v>20</v>
      </c>
      <c r="F14" s="6" t="s">
        <v>38</v>
      </c>
      <c r="G14" s="6"/>
      <c r="H14" s="15">
        <f t="shared" ref="H14:H15" si="0">C14*E14</f>
        <v>10</v>
      </c>
      <c r="J14" s="13" t="s">
        <v>181</v>
      </c>
      <c r="K14" s="6"/>
      <c r="L14" s="6"/>
      <c r="M14" s="26">
        <f>M12*0.14</f>
        <v>15.330000000000002</v>
      </c>
    </row>
    <row r="15" spans="2:13" ht="15" thickBot="1">
      <c r="B15" s="5" t="s">
        <v>2</v>
      </c>
      <c r="C15" s="6">
        <v>32</v>
      </c>
      <c r="D15" s="6" t="s">
        <v>21</v>
      </c>
      <c r="E15" s="14">
        <f>Assumptions!C5</f>
        <v>5.5</v>
      </c>
      <c r="F15" s="6" t="s">
        <v>21</v>
      </c>
      <c r="G15" s="6"/>
      <c r="H15" s="15">
        <f t="shared" si="0"/>
        <v>176</v>
      </c>
      <c r="J15" s="234"/>
      <c r="K15" s="235"/>
      <c r="L15" s="235"/>
      <c r="M15" s="236"/>
    </row>
    <row r="16" spans="2:13" ht="15" thickTop="1">
      <c r="B16" s="5" t="s">
        <v>3</v>
      </c>
      <c r="C16" s="6">
        <v>340</v>
      </c>
      <c r="D16" s="6" t="s">
        <v>14</v>
      </c>
      <c r="E16" s="14">
        <f>Assumptions!C6</f>
        <v>19.760000000000002</v>
      </c>
      <c r="F16" s="6" t="s">
        <v>15</v>
      </c>
      <c r="G16" s="6"/>
      <c r="H16" s="15">
        <f>C16*(E16/100)</f>
        <v>67.184000000000012</v>
      </c>
    </row>
    <row r="17" spans="2:13">
      <c r="B17" s="9" t="s">
        <v>22</v>
      </c>
      <c r="C17" s="2">
        <v>18</v>
      </c>
      <c r="D17" s="2" t="s">
        <v>14</v>
      </c>
      <c r="E17" s="3">
        <f>Assumptions!C7</f>
        <v>22</v>
      </c>
      <c r="F17" s="2" t="s">
        <v>15</v>
      </c>
      <c r="G17" s="2"/>
      <c r="H17" s="16">
        <f>C17*(E17/100)</f>
        <v>3.96</v>
      </c>
    </row>
    <row r="18" spans="2:13">
      <c r="B18" s="5" t="s">
        <v>26</v>
      </c>
      <c r="C18" s="6"/>
      <c r="D18" s="6"/>
      <c r="E18" s="6"/>
      <c r="F18" s="6"/>
      <c r="G18" s="6"/>
      <c r="H18" s="11">
        <f>SUM(H13:H17)</f>
        <v>274.64400000000001</v>
      </c>
      <c r="J18" t="s">
        <v>266</v>
      </c>
      <c r="M18" s="50">
        <f>100*(H33/C6)</f>
        <v>109.11936500000002</v>
      </c>
    </row>
    <row r="19" spans="2:13">
      <c r="B19" s="5"/>
      <c r="C19" s="6"/>
      <c r="D19" s="6"/>
      <c r="E19" s="6"/>
      <c r="F19" s="6"/>
      <c r="G19" s="6"/>
      <c r="H19" s="12"/>
      <c r="J19" t="s">
        <v>267</v>
      </c>
      <c r="M19" s="50">
        <f>M18-E6</f>
        <v>22.669365000000013</v>
      </c>
    </row>
    <row r="20" spans="2:13">
      <c r="B20" s="5" t="s">
        <v>29</v>
      </c>
      <c r="C20" s="6"/>
      <c r="D20" s="6"/>
      <c r="E20" s="6"/>
      <c r="F20" s="6"/>
      <c r="G20" s="6"/>
      <c r="H20" s="15">
        <v>20</v>
      </c>
    </row>
    <row r="21" spans="2:13">
      <c r="B21" s="5" t="s">
        <v>86</v>
      </c>
      <c r="C21" s="6"/>
      <c r="D21" s="6"/>
      <c r="E21" s="6"/>
      <c r="F21" s="6"/>
      <c r="G21" s="6"/>
      <c r="H21" s="15">
        <v>7</v>
      </c>
    </row>
    <row r="22" spans="2:13">
      <c r="B22" s="5" t="s">
        <v>30</v>
      </c>
      <c r="C22" s="6"/>
      <c r="D22" s="6"/>
      <c r="E22" s="6"/>
      <c r="F22" s="6"/>
      <c r="G22" s="6"/>
      <c r="H22" s="15">
        <v>16</v>
      </c>
    </row>
    <row r="23" spans="2:13">
      <c r="B23" s="5" t="s">
        <v>83</v>
      </c>
      <c r="C23" s="6"/>
      <c r="D23" s="6"/>
      <c r="E23" s="6"/>
      <c r="F23" s="6"/>
      <c r="G23" s="6"/>
      <c r="H23" s="15">
        <v>16</v>
      </c>
    </row>
    <row r="24" spans="2:13">
      <c r="B24" s="5" t="s">
        <v>85</v>
      </c>
      <c r="C24" s="6"/>
      <c r="D24" s="6"/>
      <c r="E24" s="6"/>
      <c r="F24" s="6"/>
      <c r="G24" s="6"/>
      <c r="H24" s="15">
        <v>15</v>
      </c>
    </row>
    <row r="25" spans="2:13">
      <c r="B25" s="5" t="s">
        <v>84</v>
      </c>
      <c r="C25" s="6"/>
      <c r="D25" s="6"/>
      <c r="E25" s="6"/>
      <c r="F25" s="6"/>
      <c r="G25" s="6"/>
      <c r="H25" s="15">
        <v>9</v>
      </c>
    </row>
    <row r="26" spans="2:13">
      <c r="B26" s="5" t="s">
        <v>32</v>
      </c>
      <c r="C26" s="6">
        <v>6</v>
      </c>
      <c r="D26" s="6" t="s">
        <v>48</v>
      </c>
      <c r="E26" s="34">
        <f>Assumptions!C17</f>
        <v>0.09</v>
      </c>
      <c r="F26" s="6"/>
      <c r="G26" s="6"/>
      <c r="H26" s="15">
        <f>(H9+H18+H20+H22+H24+H21+H23+H25)*(E26/12)*C26</f>
        <v>31.026555000000002</v>
      </c>
    </row>
    <row r="27" spans="2:13">
      <c r="B27" s="9" t="s">
        <v>33</v>
      </c>
      <c r="C27" s="2">
        <v>2</v>
      </c>
      <c r="D27" s="2" t="s">
        <v>49</v>
      </c>
      <c r="E27" s="3">
        <f>Assumptions!C16</f>
        <v>14</v>
      </c>
      <c r="F27" s="2" t="s">
        <v>39</v>
      </c>
      <c r="G27" s="2"/>
      <c r="H27" s="16">
        <f>C27*E27</f>
        <v>28</v>
      </c>
    </row>
    <row r="28" spans="2:13">
      <c r="B28" s="8" t="s">
        <v>51</v>
      </c>
      <c r="C28" s="6"/>
      <c r="D28" s="6"/>
      <c r="E28" s="6"/>
      <c r="F28" s="6"/>
      <c r="G28" s="6"/>
      <c r="H28" s="15">
        <f>SUM(H18,H21,H23,H25,H20,H22,H24,H26,H27)</f>
        <v>416.67055500000004</v>
      </c>
    </row>
    <row r="29" spans="2:13">
      <c r="B29" s="8"/>
      <c r="C29" s="6"/>
      <c r="D29" s="6"/>
      <c r="E29" s="6"/>
      <c r="F29" s="6"/>
      <c r="G29" s="6"/>
      <c r="H29" s="15"/>
    </row>
    <row r="30" spans="2:13">
      <c r="B30" s="8" t="s">
        <v>52</v>
      </c>
      <c r="C30" s="6"/>
      <c r="D30" s="6"/>
      <c r="E30" s="6"/>
      <c r="F30" s="6"/>
      <c r="G30" s="6"/>
      <c r="H30" s="15"/>
    </row>
    <row r="31" spans="2:13" ht="15" thickBot="1">
      <c r="B31" s="30" t="s">
        <v>53</v>
      </c>
      <c r="C31" s="20"/>
      <c r="D31" s="20"/>
      <c r="E31" s="20"/>
      <c r="F31" s="20"/>
      <c r="G31" s="20"/>
      <c r="H31" s="21">
        <f>M14</f>
        <v>15.330000000000002</v>
      </c>
    </row>
    <row r="32" spans="2:13" ht="15" thickTop="1">
      <c r="B32" s="5"/>
      <c r="C32" s="6"/>
      <c r="D32" s="6"/>
      <c r="E32" s="6"/>
      <c r="F32" s="6"/>
      <c r="G32" s="6"/>
      <c r="H32" s="12"/>
    </row>
    <row r="33" spans="2:8">
      <c r="B33" s="8" t="s">
        <v>57</v>
      </c>
      <c r="C33" s="6"/>
      <c r="D33" s="6"/>
      <c r="E33" s="6"/>
      <c r="F33" s="6"/>
      <c r="G33" s="6"/>
      <c r="H33" s="15">
        <f>H28+H9+H31</f>
        <v>763.83555500000011</v>
      </c>
    </row>
    <row r="34" spans="2:8">
      <c r="B34" s="5"/>
      <c r="C34" s="6"/>
      <c r="D34" s="6"/>
      <c r="E34" s="6"/>
      <c r="F34" s="6"/>
      <c r="G34" s="6"/>
      <c r="H34" s="7"/>
    </row>
    <row r="35" spans="2:8">
      <c r="B35" s="8" t="s">
        <v>268</v>
      </c>
      <c r="C35" s="6"/>
      <c r="D35" s="6"/>
      <c r="E35" s="6"/>
      <c r="F35" s="6"/>
      <c r="G35" s="6"/>
      <c r="H35" s="19">
        <f>H6-H33</f>
        <v>-158.68555500000014</v>
      </c>
    </row>
    <row r="36" spans="2:8" ht="15" thickBot="1">
      <c r="B36" s="234"/>
      <c r="C36" s="235"/>
      <c r="D36" s="235"/>
      <c r="E36" s="235"/>
      <c r="F36" s="235"/>
      <c r="G36" s="235"/>
      <c r="H36" s="236"/>
    </row>
    <row r="37" spans="2:8" ht="15" thickTop="1"/>
  </sheetData>
  <mergeCells count="6">
    <mergeCell ref="B2:H2"/>
    <mergeCell ref="C4:D4"/>
    <mergeCell ref="E4:F4"/>
    <mergeCell ref="B36:H36"/>
    <mergeCell ref="J2:M2"/>
    <mergeCell ref="J15:M15"/>
  </mergeCell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workbookViewId="0">
      <selection activeCell="B2" sqref="B2:E15"/>
    </sheetView>
  </sheetViews>
  <sheetFormatPr baseColWidth="10" defaultColWidth="8.83203125" defaultRowHeight="14" x14ac:dyDescent="0"/>
  <cols>
    <col min="2" max="2" width="35.1640625" customWidth="1"/>
    <col min="5" max="5" width="11.5" bestFit="1" customWidth="1"/>
  </cols>
  <sheetData>
    <row r="1" spans="2:5" ht="15" thickBot="1"/>
    <row r="2" spans="2:5" ht="20" thickTop="1" thickBot="1">
      <c r="B2" s="228" t="s">
        <v>180</v>
      </c>
      <c r="C2" s="229"/>
      <c r="D2" s="229"/>
      <c r="E2" s="230"/>
    </row>
    <row r="3" spans="2:5" ht="15" thickTop="1">
      <c r="B3" s="5"/>
      <c r="C3" s="6"/>
      <c r="D3" s="6"/>
      <c r="E3" s="7"/>
    </row>
    <row r="4" spans="2:5">
      <c r="B4" s="8" t="s">
        <v>79</v>
      </c>
      <c r="C4" s="6"/>
      <c r="D4" s="6"/>
      <c r="E4" s="7"/>
    </row>
    <row r="5" spans="2:5">
      <c r="B5" s="13" t="s">
        <v>137</v>
      </c>
      <c r="C5" s="6"/>
      <c r="D5" s="6"/>
      <c r="E5" s="7"/>
    </row>
    <row r="6" spans="2:5">
      <c r="B6" s="5" t="s">
        <v>139</v>
      </c>
      <c r="C6" s="6"/>
      <c r="D6" s="6"/>
      <c r="E6" s="24">
        <f>18000*0.1</f>
        <v>1800</v>
      </c>
    </row>
    <row r="7" spans="2:5">
      <c r="B7" s="5" t="s">
        <v>75</v>
      </c>
      <c r="C7" s="6"/>
      <c r="D7" s="6"/>
      <c r="E7" s="24">
        <v>1500</v>
      </c>
    </row>
    <row r="8" spans="2:5">
      <c r="B8" s="5" t="s">
        <v>138</v>
      </c>
      <c r="C8" s="6"/>
      <c r="D8" s="6"/>
      <c r="E8" s="24">
        <f>94*12.5</f>
        <v>1175</v>
      </c>
    </row>
    <row r="9" spans="2:5">
      <c r="B9" s="9" t="s">
        <v>77</v>
      </c>
      <c r="C9" s="2"/>
      <c r="D9" s="2"/>
      <c r="E9" s="25">
        <v>1000</v>
      </c>
    </row>
    <row r="10" spans="2:5">
      <c r="B10" s="8" t="s">
        <v>78</v>
      </c>
      <c r="C10" s="6"/>
      <c r="D10" s="6"/>
      <c r="E10" s="26">
        <f>SUM(E6:E9)</f>
        <v>5475</v>
      </c>
    </row>
    <row r="11" spans="2:5">
      <c r="B11" s="5"/>
      <c r="C11" s="6"/>
      <c r="D11" s="6"/>
      <c r="E11" s="7"/>
    </row>
    <row r="12" spans="2:5">
      <c r="B12" s="8" t="s">
        <v>140</v>
      </c>
      <c r="C12" s="6"/>
      <c r="D12" s="6"/>
      <c r="E12" s="26">
        <f>E10/50</f>
        <v>109.5</v>
      </c>
    </row>
    <row r="13" spans="2:5">
      <c r="B13" s="8"/>
      <c r="C13" s="6"/>
      <c r="D13" s="6"/>
      <c r="E13" s="7"/>
    </row>
    <row r="14" spans="2:5">
      <c r="B14" s="13" t="s">
        <v>181</v>
      </c>
      <c r="C14" s="6"/>
      <c r="D14" s="6"/>
      <c r="E14" s="26">
        <f>E12*0.14</f>
        <v>15.330000000000002</v>
      </c>
    </row>
    <row r="15" spans="2:5" ht="15" thickBot="1">
      <c r="B15" s="234"/>
      <c r="C15" s="235"/>
      <c r="D15" s="235"/>
      <c r="E15" s="236"/>
    </row>
    <row r="16" spans="2:5" ht="15" thickTop="1"/>
  </sheetData>
  <mergeCells count="2">
    <mergeCell ref="B2:E2"/>
    <mergeCell ref="B15:E15"/>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424233D0347C478F8CA6AB270E5195" ma:contentTypeVersion="2" ma:contentTypeDescription="Create a new document." ma:contentTypeScope="" ma:versionID="9bdbdb2c39d32ee157744105af20c735">
  <xsd:schema xmlns:xsd="http://www.w3.org/2001/XMLSchema" xmlns:xs="http://www.w3.org/2001/XMLSchema" xmlns:p="http://schemas.microsoft.com/office/2006/metadata/properties" xmlns:ns1="http://schemas.microsoft.com/sharepoint/v3" targetNamespace="http://schemas.microsoft.com/office/2006/metadata/properties" ma:root="true" ma:fieldsID="c6505b6ba3e65c9d1732174f4437bb0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9137BA9-2092-4BB1-97A9-42DE523C83F3}"/>
</file>

<file path=customXml/itemProps2.xml><?xml version="1.0" encoding="utf-8"?>
<ds:datastoreItem xmlns:ds="http://schemas.openxmlformats.org/officeDocument/2006/customXml" ds:itemID="{C6CDD7A7-D9E4-4BF2-8FE3-BA4AE7B2065A}"/>
</file>

<file path=customXml/itemProps3.xml><?xml version="1.0" encoding="utf-8"?>
<ds:datastoreItem xmlns:ds="http://schemas.openxmlformats.org/officeDocument/2006/customXml" ds:itemID="{B6819A41-56BA-41BD-85C5-D891B2FE9FCE}"/>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Calculations</vt:lpstr>
      <vt:lpstr>PCDS</vt:lpstr>
      <vt:lpstr>PCDS2</vt:lpstr>
      <vt:lpstr>CDS 2 Calculations</vt:lpstr>
      <vt:lpstr>Assumptions</vt:lpstr>
      <vt:lpstr>Cow-Calf</vt:lpstr>
      <vt:lpstr>Cow-Calf Investment</vt:lpstr>
      <vt:lpstr>Dairy Steer</vt:lpstr>
      <vt:lpstr>Dairy Steer Investment</vt:lpstr>
      <vt:lpstr>Sheep</vt:lpstr>
      <vt:lpstr>Sheep Investment</vt:lpstr>
      <vt:lpstr>Goat</vt:lpstr>
      <vt:lpstr>Goat Investment</vt:lpstr>
      <vt:lpstr>Turkey</vt:lpstr>
      <vt:lpstr>Turkey Investment</vt:lpstr>
      <vt:lpstr>Sheet1</vt:lpstr>
    </vt:vector>
  </TitlesOfParts>
  <Company>Argicultural Economics - Purdue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Scale Livestock Enterprise</dc:title>
  <dc:creator>aallcorn</dc:creator>
  <cp:lastModifiedBy>Joan Fulton</cp:lastModifiedBy>
  <cp:lastPrinted>2012-02-28T17:58:02Z</cp:lastPrinted>
  <dcterms:created xsi:type="dcterms:W3CDTF">2012-01-07T23:58:17Z</dcterms:created>
  <dcterms:modified xsi:type="dcterms:W3CDTF">2015-12-14T19:17:01Z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0x0101006F424233D0347C478F8CA6AB270E5195</vt:lpwstr>
  </property>
</Properties>
</file>