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minjungryu/Google Drive/Hydroponics Final/"/>
    </mc:Choice>
  </mc:AlternateContent>
  <bookViews>
    <workbookView xWindow="0" yWindow="460" windowWidth="25600" windowHeight="14320" tabRatio="500" activeTab="1"/>
  </bookViews>
  <sheets>
    <sheet name="Sheet1" sheetId="1" r:id="rId1"/>
    <sheet name="Edited version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2" l="1"/>
  <c r="G11" i="2"/>
  <c r="G6" i="2"/>
  <c r="F10" i="2"/>
  <c r="F8" i="2"/>
  <c r="E10" i="2"/>
  <c r="E6" i="2"/>
  <c r="D8" i="2"/>
  <c r="C9" i="2"/>
  <c r="C7" i="2"/>
  <c r="B9" i="2"/>
  <c r="B6" i="2"/>
  <c r="G15" i="2"/>
  <c r="F15" i="2"/>
  <c r="E15" i="2"/>
  <c r="D15" i="2"/>
  <c r="C15" i="2"/>
  <c r="H11" i="2"/>
  <c r="H10" i="2"/>
  <c r="D9" i="2"/>
  <c r="H9" i="2"/>
  <c r="H8" i="2"/>
  <c r="H7" i="2"/>
  <c r="H6" i="2"/>
  <c r="C21" i="1"/>
  <c r="G25" i="1"/>
  <c r="F24" i="1"/>
  <c r="E24" i="1"/>
  <c r="D23" i="1"/>
  <c r="C23" i="1"/>
  <c r="B23" i="1"/>
  <c r="F22" i="1"/>
  <c r="D22" i="1"/>
  <c r="B20" i="1"/>
  <c r="G20" i="1"/>
  <c r="E20" i="1"/>
  <c r="C29" i="1"/>
  <c r="D29" i="1"/>
  <c r="E29" i="1"/>
  <c r="F29" i="1"/>
  <c r="G29" i="1"/>
  <c r="B29" i="1"/>
  <c r="C46" i="1"/>
  <c r="D46" i="1"/>
  <c r="E46" i="1"/>
  <c r="F46" i="1"/>
  <c r="G46" i="1"/>
  <c r="B46" i="1"/>
  <c r="C45" i="1"/>
  <c r="D45" i="1"/>
  <c r="E45" i="1"/>
  <c r="F45" i="1"/>
  <c r="G45" i="1"/>
  <c r="B45" i="1"/>
  <c r="G53" i="1"/>
  <c r="H53" i="1"/>
  <c r="E52" i="1"/>
  <c r="F52" i="1"/>
  <c r="H52" i="1"/>
  <c r="B51" i="1"/>
  <c r="C51" i="1"/>
  <c r="D51" i="1"/>
  <c r="H51" i="1"/>
  <c r="D50" i="1"/>
  <c r="F50" i="1"/>
  <c r="H50" i="1"/>
  <c r="C49" i="1"/>
  <c r="H49" i="1"/>
  <c r="B48" i="1"/>
  <c r="E48" i="1"/>
  <c r="G48" i="1"/>
  <c r="H48" i="1"/>
  <c r="H25" i="1"/>
  <c r="H24" i="1"/>
  <c r="H23" i="1"/>
  <c r="H22" i="1"/>
  <c r="H21" i="1"/>
  <c r="H20" i="1"/>
  <c r="L6" i="1"/>
  <c r="M6" i="1"/>
  <c r="F6" i="1"/>
  <c r="G6" i="1"/>
  <c r="B11" i="1"/>
  <c r="F5" i="1"/>
  <c r="G5" i="1"/>
  <c r="B10" i="1"/>
  <c r="F4" i="1"/>
  <c r="G4" i="1"/>
  <c r="L4" i="1"/>
  <c r="M4" i="1"/>
  <c r="R4" i="1"/>
  <c r="S4" i="1"/>
  <c r="B9" i="1"/>
  <c r="B14" i="1"/>
  <c r="B12" i="1"/>
  <c r="B13" i="1"/>
</calcChain>
</file>

<file path=xl/sharedStrings.xml><?xml version="1.0" encoding="utf-8"?>
<sst xmlns="http://schemas.openxmlformats.org/spreadsheetml/2006/main" count="184" uniqueCount="51">
  <si>
    <t>KNO3</t>
  </si>
  <si>
    <t>Mg(NO3)2</t>
  </si>
  <si>
    <t>Potassium</t>
  </si>
  <si>
    <t>Calcium</t>
  </si>
  <si>
    <t>Magnesium</t>
  </si>
  <si>
    <t>K2SO4</t>
  </si>
  <si>
    <t>Molar Mass of Salt</t>
  </si>
  <si>
    <t>KH2PO4</t>
  </si>
  <si>
    <t>Salt</t>
  </si>
  <si>
    <t>ppm Nitrogen</t>
  </si>
  <si>
    <t>ppm Sulfur</t>
  </si>
  <si>
    <t>ppm Phosphorus</t>
  </si>
  <si>
    <t>ppm cation</t>
  </si>
  <si>
    <t>K</t>
  </si>
  <si>
    <t>Ca</t>
  </si>
  <si>
    <t>Mg</t>
  </si>
  <si>
    <t>Total ppm</t>
  </si>
  <si>
    <t>N</t>
  </si>
  <si>
    <t>S</t>
  </si>
  <si>
    <t>P</t>
  </si>
  <si>
    <t>MM of P</t>
  </si>
  <si>
    <t>MM of S</t>
  </si>
  <si>
    <t>MM of N</t>
  </si>
  <si>
    <t xml:space="preserve"> mg of salt to be added</t>
  </si>
  <si>
    <t>mg of salt to be added</t>
  </si>
  <si>
    <t>MM of Cation</t>
  </si>
  <si>
    <t>100-250</t>
  </si>
  <si>
    <t>30-50</t>
  </si>
  <si>
    <t>100-300</t>
  </si>
  <si>
    <t>80-140</t>
  </si>
  <si>
    <t>50-70</t>
  </si>
  <si>
    <t>50-120</t>
  </si>
  <si>
    <t>Typical Range</t>
  </si>
  <si>
    <t>Ca(NO3)2.4H2O</t>
  </si>
  <si>
    <t>MgSO4.7H2O</t>
  </si>
  <si>
    <t>Elements</t>
  </si>
  <si>
    <t>MM</t>
  </si>
  <si>
    <t>Compounds</t>
  </si>
  <si>
    <t xml:space="preserve">Salt </t>
  </si>
  <si>
    <t>Ca(NO3)2</t>
  </si>
  <si>
    <t>MgSO4</t>
  </si>
  <si>
    <t>mg of salt</t>
  </si>
  <si>
    <t>L of water</t>
  </si>
  <si>
    <t>O</t>
  </si>
  <si>
    <t>H</t>
  </si>
  <si>
    <t xml:space="preserve">Typical Range(ppm) </t>
  </si>
  <si>
    <t>ppm of individual elements</t>
  </si>
  <si>
    <t>Volume Factor</t>
  </si>
  <si>
    <t>New volume</t>
  </si>
  <si>
    <t>Solution volume</t>
  </si>
  <si>
    <t xml:space="preserve">mg of salt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</si>
</sst>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0" fillId="0" borderId="0" xfId="0" applyFont="1" applyFill="1" applyBorder="1"/>
    <xf numFmtId="0" fontId="0" fillId="0" borderId="4" xfId="0" applyBorder="1"/>
    <xf numFmtId="0" fontId="0" fillId="2" borderId="4" xfId="0" applyFill="1" applyBorder="1"/>
    <xf numFmtId="0" fontId="0" fillId="0" borderId="0" xfId="0" applyFill="1" applyBorder="1"/>
    <xf numFmtId="0" fontId="0" fillId="0" borderId="4" xfId="0" applyFill="1" applyBorder="1"/>
    <xf numFmtId="0" fontId="0" fillId="0" borderId="4" xfId="0" applyBorder="1" applyAlignment="1">
      <alignment wrapText="1"/>
    </xf>
    <xf numFmtId="0" fontId="0" fillId="0" borderId="4" xfId="0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opLeftCell="A43" zoomScale="95" zoomScaleNormal="95" zoomScalePageLayoutView="95" workbookViewId="0">
      <selection activeCell="B48" sqref="B48"/>
    </sheetView>
  </sheetViews>
  <sheetFormatPr baseColWidth="10" defaultRowHeight="16" x14ac:dyDescent="0.2"/>
  <cols>
    <col min="3" max="3" width="14.1640625" bestFit="1" customWidth="1"/>
    <col min="4" max="4" width="12.33203125" bestFit="1" customWidth="1"/>
    <col min="5" max="5" width="16.33203125" bestFit="1" customWidth="1"/>
    <col min="6" max="6" width="23.33203125" bestFit="1" customWidth="1"/>
    <col min="9" max="9" width="12.1640625" bestFit="1" customWidth="1"/>
    <col min="10" max="10" width="16.33203125" bestFit="1" customWidth="1"/>
    <col min="11" max="11" width="16.1640625" bestFit="1" customWidth="1"/>
    <col min="12" max="12" width="23.33203125" bestFit="1" customWidth="1"/>
    <col min="13" max="14" width="10.83203125" style="2"/>
    <col min="15" max="15" width="13.33203125" bestFit="1" customWidth="1"/>
    <col min="16" max="16" width="14.33203125" bestFit="1" customWidth="1"/>
    <col min="17" max="17" width="16.1640625" bestFit="1" customWidth="1"/>
    <col min="18" max="18" width="23.33203125" bestFit="1" customWidth="1"/>
  </cols>
  <sheetData>
    <row r="1" spans="1:19" x14ac:dyDescent="0.2">
      <c r="D1" t="s">
        <v>22</v>
      </c>
      <c r="E1">
        <v>14.0067</v>
      </c>
      <c r="J1" t="s">
        <v>21</v>
      </c>
      <c r="K1">
        <v>32.064999999999998</v>
      </c>
      <c r="P1" t="s">
        <v>20</v>
      </c>
      <c r="Q1">
        <v>30.97</v>
      </c>
    </row>
    <row r="2" spans="1:19" x14ac:dyDescent="0.2">
      <c r="C2" t="s">
        <v>8</v>
      </c>
      <c r="D2" s="4" t="s">
        <v>9</v>
      </c>
      <c r="E2" t="s">
        <v>6</v>
      </c>
      <c r="F2" t="s">
        <v>24</v>
      </c>
      <c r="G2" t="s">
        <v>12</v>
      </c>
      <c r="I2" t="s">
        <v>8</v>
      </c>
      <c r="J2" s="4" t="s">
        <v>10</v>
      </c>
      <c r="K2" t="s">
        <v>6</v>
      </c>
      <c r="L2" t="s">
        <v>24</v>
      </c>
      <c r="M2" s="2" t="s">
        <v>12</v>
      </c>
      <c r="O2" t="s">
        <v>8</v>
      </c>
      <c r="P2" s="3" t="s">
        <v>11</v>
      </c>
      <c r="Q2" t="s">
        <v>6</v>
      </c>
      <c r="R2" t="s">
        <v>23</v>
      </c>
      <c r="S2" t="s">
        <v>12</v>
      </c>
    </row>
    <row r="3" spans="1:19" x14ac:dyDescent="0.2">
      <c r="A3" t="s">
        <v>25</v>
      </c>
    </row>
    <row r="4" spans="1:19" x14ac:dyDescent="0.2">
      <c r="A4">
        <v>39.090000000000003</v>
      </c>
      <c r="B4" t="s">
        <v>2</v>
      </c>
      <c r="C4" t="s">
        <v>0</v>
      </c>
      <c r="D4">
        <v>40</v>
      </c>
      <c r="E4">
        <v>101.1032</v>
      </c>
      <c r="F4">
        <f>D4*(E4/E1)</f>
        <v>288.72810869084083</v>
      </c>
      <c r="G4">
        <f>F4*(A4/E4)</f>
        <v>111.63229026108935</v>
      </c>
      <c r="I4" t="s">
        <v>5</v>
      </c>
      <c r="J4">
        <v>10</v>
      </c>
      <c r="K4">
        <v>174.25899999999999</v>
      </c>
      <c r="L4">
        <f>J4 * (K4/K1)</f>
        <v>54.345548105410884</v>
      </c>
      <c r="M4" s="2">
        <f>L4 * (2*A4/K4)</f>
        <v>24.381724621861846</v>
      </c>
      <c r="O4" t="s">
        <v>7</v>
      </c>
      <c r="P4">
        <v>30</v>
      </c>
      <c r="Q4">
        <v>136.08000000000001</v>
      </c>
      <c r="R4">
        <f xml:space="preserve"> P4 * (Q4/Q1)</f>
        <v>131.81788827897967</v>
      </c>
      <c r="S4">
        <f>R4 * (A4/Q4)</f>
        <v>37.865676461091383</v>
      </c>
    </row>
    <row r="5" spans="1:19" x14ac:dyDescent="0.2">
      <c r="A5">
        <v>40.078000000000003</v>
      </c>
      <c r="B5" t="s">
        <v>3</v>
      </c>
      <c r="C5" t="s">
        <v>33</v>
      </c>
      <c r="D5">
        <v>80</v>
      </c>
      <c r="E5" s="5">
        <v>236.15</v>
      </c>
      <c r="F5">
        <f>D5* (E5/(2*E1))</f>
        <v>674.39154119100135</v>
      </c>
      <c r="G5">
        <f>F5*(A5/E5)</f>
        <v>114.4537971113824</v>
      </c>
      <c r="I5" s="1"/>
      <c r="J5" s="1"/>
      <c r="K5" s="1"/>
      <c r="L5" s="1"/>
      <c r="M5" s="1"/>
      <c r="O5" s="1"/>
      <c r="P5" s="1"/>
      <c r="Q5" s="1"/>
      <c r="R5" s="1"/>
      <c r="S5" s="1"/>
    </row>
    <row r="6" spans="1:19" x14ac:dyDescent="0.2">
      <c r="A6">
        <v>24.305</v>
      </c>
      <c r="B6" t="s">
        <v>4</v>
      </c>
      <c r="C6" t="s">
        <v>1</v>
      </c>
      <c r="D6">
        <v>20</v>
      </c>
      <c r="E6">
        <v>148.31479999999999</v>
      </c>
      <c r="F6">
        <f>D6* (E6/(2*E1))</f>
        <v>105.88846766190466</v>
      </c>
      <c r="G6">
        <f>F6*(A6/E6)</f>
        <v>17.35240991811062</v>
      </c>
      <c r="I6" t="s">
        <v>34</v>
      </c>
      <c r="J6">
        <v>60</v>
      </c>
      <c r="K6">
        <v>246.4</v>
      </c>
      <c r="L6">
        <f>J6 * (K6/K1)</f>
        <v>461.06346483704976</v>
      </c>
      <c r="M6" s="2">
        <f>L6 *(A6/K6)</f>
        <v>45.479494776235775</v>
      </c>
      <c r="O6" s="1"/>
      <c r="P6" s="1"/>
      <c r="Q6" s="1"/>
      <c r="R6" s="1"/>
      <c r="S6" s="1"/>
    </row>
    <row r="8" spans="1:19" x14ac:dyDescent="0.2">
      <c r="B8" t="s">
        <v>16</v>
      </c>
      <c r="E8" t="s">
        <v>32</v>
      </c>
    </row>
    <row r="9" spans="1:19" x14ac:dyDescent="0.2">
      <c r="B9">
        <f>G4+M4+S4</f>
        <v>173.87969134404256</v>
      </c>
      <c r="C9" t="s">
        <v>13</v>
      </c>
      <c r="E9" t="s">
        <v>28</v>
      </c>
    </row>
    <row r="10" spans="1:19" x14ac:dyDescent="0.2">
      <c r="B10">
        <f>G5</f>
        <v>114.4537971113824</v>
      </c>
      <c r="C10" t="s">
        <v>14</v>
      </c>
      <c r="E10" t="s">
        <v>29</v>
      </c>
    </row>
    <row r="11" spans="1:19" x14ac:dyDescent="0.2">
      <c r="B11">
        <f>G6+M6</f>
        <v>62.831904694346392</v>
      </c>
      <c r="C11" t="s">
        <v>15</v>
      </c>
      <c r="E11" t="s">
        <v>30</v>
      </c>
    </row>
    <row r="12" spans="1:19" x14ac:dyDescent="0.2">
      <c r="B12">
        <f>D4 +D5 +D6</f>
        <v>140</v>
      </c>
      <c r="C12" t="s">
        <v>17</v>
      </c>
      <c r="E12" t="s">
        <v>26</v>
      </c>
    </row>
    <row r="13" spans="1:19" x14ac:dyDescent="0.2">
      <c r="B13">
        <f>J4 + J6</f>
        <v>70</v>
      </c>
      <c r="C13" t="s">
        <v>18</v>
      </c>
      <c r="E13" t="s">
        <v>31</v>
      </c>
    </row>
    <row r="14" spans="1:19" x14ac:dyDescent="0.2">
      <c r="B14">
        <f>P4</f>
        <v>30</v>
      </c>
      <c r="C14" t="s">
        <v>19</v>
      </c>
      <c r="E14" t="s">
        <v>27</v>
      </c>
    </row>
    <row r="16" spans="1:19" ht="34" customHeight="1" x14ac:dyDescent="0.2">
      <c r="A16" s="10" t="s">
        <v>49</v>
      </c>
      <c r="B16" s="10">
        <v>1</v>
      </c>
    </row>
    <row r="17" spans="1:14" ht="16" customHeight="1" x14ac:dyDescent="0.2">
      <c r="A17" s="6" t="s">
        <v>38</v>
      </c>
      <c r="B17" s="6" t="s">
        <v>0</v>
      </c>
      <c r="C17" s="6" t="s">
        <v>33</v>
      </c>
      <c r="D17" s="6" t="s">
        <v>1</v>
      </c>
      <c r="E17" s="6" t="s">
        <v>5</v>
      </c>
      <c r="F17" s="6" t="s">
        <v>34</v>
      </c>
      <c r="G17" s="6" t="s">
        <v>7</v>
      </c>
      <c r="H17" s="12" t="s">
        <v>16</v>
      </c>
      <c r="I17" s="15" t="s">
        <v>45</v>
      </c>
    </row>
    <row r="18" spans="1:14" x14ac:dyDescent="0.2">
      <c r="A18" s="6" t="s">
        <v>41</v>
      </c>
      <c r="B18" s="6">
        <v>288</v>
      </c>
      <c r="C18" s="6">
        <v>674</v>
      </c>
      <c r="D18" s="6">
        <v>105</v>
      </c>
      <c r="E18" s="6">
        <v>54</v>
      </c>
      <c r="F18" s="6">
        <v>461</v>
      </c>
      <c r="G18" s="6">
        <v>132</v>
      </c>
      <c r="H18" s="13"/>
      <c r="I18" s="16"/>
    </row>
    <row r="19" spans="1:14" x14ac:dyDescent="0.2">
      <c r="A19" s="18" t="s">
        <v>46</v>
      </c>
      <c r="B19" s="19"/>
      <c r="C19" s="19"/>
      <c r="D19" s="19"/>
      <c r="E19" s="19"/>
      <c r="F19" s="19"/>
      <c r="G19" s="20"/>
      <c r="H19" s="14"/>
      <c r="I19" s="17"/>
      <c r="K19" s="2"/>
      <c r="L19" s="2"/>
      <c r="M19"/>
      <c r="N19"/>
    </row>
    <row r="20" spans="1:14" x14ac:dyDescent="0.2">
      <c r="A20" s="6" t="s">
        <v>13</v>
      </c>
      <c r="B20" s="6">
        <f>(B18*B33/D33)/$B$16</f>
        <v>111.35077821473506</v>
      </c>
      <c r="C20" s="7"/>
      <c r="D20" s="7"/>
      <c r="E20" s="6">
        <f>(E18/D36*2*B33)/$B$16</f>
        <v>24.2266970429074</v>
      </c>
      <c r="F20" s="7"/>
      <c r="G20" s="6">
        <f>(G18/D38*B33)/$B$16</f>
        <v>37.917989417989418</v>
      </c>
      <c r="H20" s="6">
        <f>B20+E20+G20</f>
        <v>173.49546467563187</v>
      </c>
      <c r="I20" s="6" t="s">
        <v>28</v>
      </c>
      <c r="K20" s="2"/>
      <c r="L20" s="2"/>
      <c r="M20"/>
      <c r="N20"/>
    </row>
    <row r="21" spans="1:14" x14ac:dyDescent="0.2">
      <c r="A21" s="6" t="s">
        <v>14</v>
      </c>
      <c r="B21" s="7"/>
      <c r="C21" s="6">
        <f>(C18/D34*B34)/$B$16</f>
        <v>114.38734702519585</v>
      </c>
      <c r="D21" s="7"/>
      <c r="E21" s="7"/>
      <c r="F21" s="7"/>
      <c r="G21" s="7"/>
      <c r="H21" s="6">
        <f>C21</f>
        <v>114.38734702519585</v>
      </c>
      <c r="I21" s="6" t="s">
        <v>29</v>
      </c>
      <c r="K21" s="2"/>
      <c r="L21" s="2"/>
      <c r="M21"/>
      <c r="N21"/>
    </row>
    <row r="22" spans="1:14" x14ac:dyDescent="0.2">
      <c r="A22" s="6" t="s">
        <v>15</v>
      </c>
      <c r="B22" s="7"/>
      <c r="C22" s="7"/>
      <c r="D22" s="6">
        <f>(D18/D35*B35)/$B$16</f>
        <v>17.206812806274222</v>
      </c>
      <c r="E22" s="7"/>
      <c r="F22" s="6">
        <f>(F18/D37*B35)/$B$16</f>
        <v>45.473234577922071</v>
      </c>
      <c r="G22" s="7"/>
      <c r="H22" s="6">
        <f>D22+F22</f>
        <v>62.680047384196293</v>
      </c>
      <c r="I22" s="6" t="s">
        <v>30</v>
      </c>
      <c r="K22" s="2"/>
      <c r="L22" s="2"/>
      <c r="M22"/>
      <c r="N22"/>
    </row>
    <row r="23" spans="1:14" x14ac:dyDescent="0.2">
      <c r="A23" s="6" t="s">
        <v>17</v>
      </c>
      <c r="B23" s="6">
        <f>(B18/D33*B36)/$B$16</f>
        <v>39.899128810957521</v>
      </c>
      <c r="C23" s="6">
        <f>(C18/D34*2*B36)/$B$16</f>
        <v>79.953553250052934</v>
      </c>
      <c r="D23" s="6">
        <f>(D18/D35*2*B36)/$B$16</f>
        <v>19.832188021694396</v>
      </c>
      <c r="E23" s="7"/>
      <c r="F23" s="7"/>
      <c r="G23" s="7"/>
      <c r="H23" s="6">
        <f>B23+C23+D23</f>
        <v>139.68487008270486</v>
      </c>
      <c r="I23" s="6" t="s">
        <v>26</v>
      </c>
      <c r="K23" s="2"/>
      <c r="L23" s="2"/>
      <c r="M23"/>
      <c r="N23"/>
    </row>
    <row r="24" spans="1:14" x14ac:dyDescent="0.2">
      <c r="A24" s="6" t="s">
        <v>18</v>
      </c>
      <c r="B24" s="7"/>
      <c r="C24" s="7"/>
      <c r="D24" s="7"/>
      <c r="E24" s="6">
        <f>(E18/D36*B38)/$B$16</f>
        <v>9.9364164835101771</v>
      </c>
      <c r="F24" s="6">
        <f>(F18/D37*B38)/$B$16</f>
        <v>59.991741071428564</v>
      </c>
      <c r="G24" s="7"/>
      <c r="H24" s="6">
        <f>E24+F24</f>
        <v>69.928157554938736</v>
      </c>
      <c r="I24" s="6" t="s">
        <v>31</v>
      </c>
      <c r="K24" s="2"/>
      <c r="L24" s="2"/>
      <c r="M24"/>
      <c r="N24"/>
    </row>
    <row r="25" spans="1:14" x14ac:dyDescent="0.2">
      <c r="A25" s="6" t="s">
        <v>19</v>
      </c>
      <c r="B25" s="7"/>
      <c r="C25" s="7"/>
      <c r="D25" s="7"/>
      <c r="E25" s="7"/>
      <c r="F25" s="7"/>
      <c r="G25" s="6">
        <f>(G18/D38*B39)/$B$16</f>
        <v>30.041446208112873</v>
      </c>
      <c r="H25" s="6">
        <f>G25</f>
        <v>30.041446208112873</v>
      </c>
      <c r="I25" s="6" t="s">
        <v>27</v>
      </c>
    </row>
    <row r="26" spans="1:14" x14ac:dyDescent="0.2">
      <c r="A26" s="8"/>
      <c r="B26" s="8"/>
      <c r="C26" s="8"/>
      <c r="D26" s="8"/>
      <c r="E26" s="8"/>
      <c r="F26" s="8"/>
      <c r="G26" s="8"/>
      <c r="H26" s="8"/>
      <c r="I26" s="8"/>
    </row>
    <row r="27" spans="1:14" s="2" customFormat="1" ht="31" customHeight="1" x14ac:dyDescent="0.2">
      <c r="A27" s="11" t="s">
        <v>48</v>
      </c>
      <c r="B27" s="9">
        <v>2</v>
      </c>
      <c r="C27" s="8"/>
      <c r="D27" s="8"/>
      <c r="E27" s="8"/>
      <c r="F27" s="8"/>
      <c r="G27" s="8"/>
      <c r="H27" s="8"/>
      <c r="I27" s="8"/>
    </row>
    <row r="28" spans="1:14" s="2" customFormat="1" ht="31" customHeight="1" x14ac:dyDescent="0.2">
      <c r="A28" s="6" t="s">
        <v>38</v>
      </c>
      <c r="B28" s="6" t="s">
        <v>0</v>
      </c>
      <c r="C28" s="6" t="s">
        <v>33</v>
      </c>
      <c r="D28" s="6" t="s">
        <v>1</v>
      </c>
      <c r="E28" s="6" t="s">
        <v>5</v>
      </c>
      <c r="F28" s="6" t="s">
        <v>34</v>
      </c>
      <c r="G28" s="6" t="s">
        <v>7</v>
      </c>
      <c r="H28" s="8"/>
      <c r="I28" s="8"/>
    </row>
    <row r="29" spans="1:14" x14ac:dyDescent="0.2">
      <c r="A29" s="9" t="s">
        <v>50</v>
      </c>
      <c r="B29" s="6">
        <f t="shared" ref="B29:G29" si="0">B18*$B$27</f>
        <v>576</v>
      </c>
      <c r="C29" s="6">
        <f t="shared" si="0"/>
        <v>1348</v>
      </c>
      <c r="D29" s="6">
        <f t="shared" si="0"/>
        <v>210</v>
      </c>
      <c r="E29" s="6">
        <f t="shared" si="0"/>
        <v>108</v>
      </c>
      <c r="F29" s="6">
        <f t="shared" si="0"/>
        <v>922</v>
      </c>
      <c r="G29" s="6">
        <f t="shared" si="0"/>
        <v>264</v>
      </c>
    </row>
    <row r="30" spans="1:14" x14ac:dyDescent="0.2">
      <c r="A30" s="8"/>
    </row>
    <row r="31" spans="1:14" x14ac:dyDescent="0.2">
      <c r="A31" t="s">
        <v>36</v>
      </c>
    </row>
    <row r="32" spans="1:14" x14ac:dyDescent="0.2">
      <c r="A32" t="s">
        <v>35</v>
      </c>
      <c r="C32" t="s">
        <v>37</v>
      </c>
    </row>
    <row r="33" spans="1:9" customFormat="1" x14ac:dyDescent="0.2">
      <c r="A33" t="s">
        <v>13</v>
      </c>
      <c r="B33">
        <v>39.090000000000003</v>
      </c>
      <c r="C33" t="s">
        <v>0</v>
      </c>
      <c r="D33">
        <v>101.1032</v>
      </c>
    </row>
    <row r="34" spans="1:9" customFormat="1" x14ac:dyDescent="0.2">
      <c r="A34" t="s">
        <v>14</v>
      </c>
      <c r="B34">
        <v>40.078000000000003</v>
      </c>
      <c r="C34" t="s">
        <v>39</v>
      </c>
      <c r="D34">
        <v>236.15</v>
      </c>
    </row>
    <row r="35" spans="1:9" customFormat="1" x14ac:dyDescent="0.2">
      <c r="A35" t="s">
        <v>15</v>
      </c>
      <c r="B35">
        <v>24.305</v>
      </c>
      <c r="C35" t="s">
        <v>1</v>
      </c>
      <c r="D35">
        <v>148.31479999999999</v>
      </c>
    </row>
    <row r="36" spans="1:9" customFormat="1" x14ac:dyDescent="0.2">
      <c r="A36" t="s">
        <v>17</v>
      </c>
      <c r="B36">
        <v>14.0067</v>
      </c>
      <c r="C36" t="s">
        <v>5</v>
      </c>
      <c r="D36">
        <v>174.25899999999999</v>
      </c>
    </row>
    <row r="37" spans="1:9" customFormat="1" x14ac:dyDescent="0.2">
      <c r="A37" t="s">
        <v>43</v>
      </c>
      <c r="B37">
        <v>16</v>
      </c>
      <c r="C37" t="s">
        <v>40</v>
      </c>
      <c r="D37">
        <v>246.4</v>
      </c>
    </row>
    <row r="38" spans="1:9" customFormat="1" x14ac:dyDescent="0.2">
      <c r="A38" t="s">
        <v>18</v>
      </c>
      <c r="B38">
        <v>32.064999999999998</v>
      </c>
      <c r="C38" t="s">
        <v>7</v>
      </c>
      <c r="D38">
        <v>136.08000000000001</v>
      </c>
    </row>
    <row r="39" spans="1:9" customFormat="1" x14ac:dyDescent="0.2">
      <c r="A39" t="s">
        <v>19</v>
      </c>
      <c r="B39">
        <v>30.97</v>
      </c>
    </row>
    <row r="40" spans="1:9" customFormat="1" x14ac:dyDescent="0.2">
      <c r="A40" t="s">
        <v>44</v>
      </c>
      <c r="B40">
        <v>1.004</v>
      </c>
    </row>
    <row r="43" spans="1:9" customFormat="1" x14ac:dyDescent="0.2">
      <c r="A43" t="s">
        <v>47</v>
      </c>
      <c r="B43">
        <v>3</v>
      </c>
    </row>
    <row r="44" spans="1:9" customFormat="1" x14ac:dyDescent="0.2">
      <c r="A44" s="6" t="s">
        <v>38</v>
      </c>
      <c r="B44" s="6" t="s">
        <v>0</v>
      </c>
      <c r="C44" s="6" t="s">
        <v>33</v>
      </c>
      <c r="D44" s="6" t="s">
        <v>1</v>
      </c>
      <c r="E44" s="6" t="s">
        <v>5</v>
      </c>
      <c r="F44" s="6" t="s">
        <v>34</v>
      </c>
      <c r="G44" s="6" t="s">
        <v>7</v>
      </c>
      <c r="H44" s="12" t="s">
        <v>16</v>
      </c>
      <c r="I44" s="15" t="s">
        <v>45</v>
      </c>
    </row>
    <row r="45" spans="1:9" customFormat="1" x14ac:dyDescent="0.2">
      <c r="A45" s="6" t="s">
        <v>41</v>
      </c>
      <c r="B45" s="6">
        <f>B18*$B$43</f>
        <v>864</v>
      </c>
      <c r="C45" s="6">
        <f t="shared" ref="C45:G45" si="1">C18*$B$43</f>
        <v>2022</v>
      </c>
      <c r="D45" s="6">
        <f t="shared" si="1"/>
        <v>315</v>
      </c>
      <c r="E45" s="6">
        <f t="shared" si="1"/>
        <v>162</v>
      </c>
      <c r="F45" s="6">
        <f t="shared" si="1"/>
        <v>1383</v>
      </c>
      <c r="G45" s="6">
        <f t="shared" si="1"/>
        <v>396</v>
      </c>
      <c r="H45" s="13"/>
      <c r="I45" s="16"/>
    </row>
    <row r="46" spans="1:9" customFormat="1" x14ac:dyDescent="0.2">
      <c r="A46" s="6" t="s">
        <v>42</v>
      </c>
      <c r="B46" s="6">
        <f>$B$43</f>
        <v>3</v>
      </c>
      <c r="C46" s="6">
        <f t="shared" ref="C46:G46" si="2">$B$43</f>
        <v>3</v>
      </c>
      <c r="D46" s="6">
        <f t="shared" si="2"/>
        <v>3</v>
      </c>
      <c r="E46" s="6">
        <f t="shared" si="2"/>
        <v>3</v>
      </c>
      <c r="F46" s="6">
        <f t="shared" si="2"/>
        <v>3</v>
      </c>
      <c r="G46" s="6">
        <f t="shared" si="2"/>
        <v>3</v>
      </c>
      <c r="H46" s="13"/>
      <c r="I46" s="16"/>
    </row>
    <row r="47" spans="1:9" customFormat="1" x14ac:dyDescent="0.2">
      <c r="A47" s="18" t="s">
        <v>46</v>
      </c>
      <c r="B47" s="19"/>
      <c r="C47" s="19"/>
      <c r="D47" s="19"/>
      <c r="E47" s="19"/>
      <c r="F47" s="19"/>
      <c r="G47" s="20"/>
      <c r="H47" s="14"/>
      <c r="I47" s="17"/>
    </row>
    <row r="48" spans="1:9" customFormat="1" x14ac:dyDescent="0.2">
      <c r="A48" s="6" t="s">
        <v>13</v>
      </c>
      <c r="B48" s="6">
        <f>(B45*B57/D57)/B46</f>
        <v>111.35077821473504</v>
      </c>
      <c r="C48" s="7"/>
      <c r="D48" s="7"/>
      <c r="E48" s="6">
        <f>(E45/D60*2*B57)/E46</f>
        <v>24.2266970429074</v>
      </c>
      <c r="F48" s="7"/>
      <c r="G48" s="6">
        <f>(G45/D62*B57)/G46</f>
        <v>37.917989417989418</v>
      </c>
      <c r="H48" s="6">
        <f>B48+E48+G48</f>
        <v>173.49546467563187</v>
      </c>
      <c r="I48" s="6" t="s">
        <v>28</v>
      </c>
    </row>
    <row r="49" spans="1:9" customFormat="1" x14ac:dyDescent="0.2">
      <c r="A49" s="6" t="s">
        <v>14</v>
      </c>
      <c r="B49" s="7"/>
      <c r="C49" s="6">
        <f>(C45/D58*B58)/C46</f>
        <v>114.38734702519587</v>
      </c>
      <c r="D49" s="7"/>
      <c r="E49" s="7"/>
      <c r="F49" s="7"/>
      <c r="G49" s="7"/>
      <c r="H49" s="6">
        <f>C49</f>
        <v>114.38734702519587</v>
      </c>
      <c r="I49" s="6" t="s">
        <v>29</v>
      </c>
    </row>
    <row r="50" spans="1:9" customFormat="1" x14ac:dyDescent="0.2">
      <c r="A50" s="6" t="s">
        <v>15</v>
      </c>
      <c r="B50" s="7"/>
      <c r="C50" s="7"/>
      <c r="D50" s="6">
        <f>(D45/D59*B59)/D46</f>
        <v>17.206812806274222</v>
      </c>
      <c r="E50" s="7"/>
      <c r="F50" s="6">
        <f>(F45/D61*B59)/F46</f>
        <v>45.473234577922078</v>
      </c>
      <c r="G50" s="7"/>
      <c r="H50" s="6">
        <f>D50+F50</f>
        <v>62.6800473841963</v>
      </c>
      <c r="I50" s="6" t="s">
        <v>30</v>
      </c>
    </row>
    <row r="51" spans="1:9" customFormat="1" x14ac:dyDescent="0.2">
      <c r="A51" s="6" t="s">
        <v>17</v>
      </c>
      <c r="B51" s="6">
        <f>(B45/D57*B60)/B46</f>
        <v>39.899128810957514</v>
      </c>
      <c r="C51" s="6">
        <f>(C45/D58*2*B60)/C46</f>
        <v>79.953553250052934</v>
      </c>
      <c r="D51" s="6">
        <f>(D45/D59*2*B60)/D46</f>
        <v>19.832188021694396</v>
      </c>
      <c r="E51" s="7"/>
      <c r="F51" s="7"/>
      <c r="G51" s="7"/>
      <c r="H51" s="6">
        <f>B51+C51+D51</f>
        <v>139.68487008270486</v>
      </c>
      <c r="I51" s="6" t="s">
        <v>26</v>
      </c>
    </row>
    <row r="52" spans="1:9" customFormat="1" x14ac:dyDescent="0.2">
      <c r="A52" s="6" t="s">
        <v>18</v>
      </c>
      <c r="B52" s="7"/>
      <c r="C52" s="7"/>
      <c r="D52" s="7"/>
      <c r="E52" s="6">
        <f>(E45/D60*B62)/E46</f>
        <v>9.9364164835101771</v>
      </c>
      <c r="F52" s="6">
        <f>(F45/D61*B62)/F46</f>
        <v>59.991741071428571</v>
      </c>
      <c r="G52" s="7"/>
      <c r="H52" s="6">
        <f>E52+F52</f>
        <v>69.92815755493875</v>
      </c>
      <c r="I52" s="6" t="s">
        <v>31</v>
      </c>
    </row>
    <row r="53" spans="1:9" customFormat="1" x14ac:dyDescent="0.2">
      <c r="A53" s="6" t="s">
        <v>19</v>
      </c>
      <c r="B53" s="7"/>
      <c r="C53" s="7"/>
      <c r="D53" s="7"/>
      <c r="E53" s="7"/>
      <c r="F53" s="7"/>
      <c r="G53" s="6">
        <f>(G45/D62*B63)/G46</f>
        <v>30.04144620811287</v>
      </c>
      <c r="H53" s="6">
        <f>G53</f>
        <v>30.04144620811287</v>
      </c>
      <c r="I53" s="6" t="s">
        <v>27</v>
      </c>
    </row>
    <row r="55" spans="1:9" customFormat="1" x14ac:dyDescent="0.2">
      <c r="A55" t="s">
        <v>36</v>
      </c>
    </row>
    <row r="56" spans="1:9" customFormat="1" x14ac:dyDescent="0.2">
      <c r="A56" t="s">
        <v>35</v>
      </c>
      <c r="C56" t="s">
        <v>37</v>
      </c>
    </row>
    <row r="57" spans="1:9" customFormat="1" x14ac:dyDescent="0.2">
      <c r="A57" t="s">
        <v>13</v>
      </c>
      <c r="B57">
        <v>39.090000000000003</v>
      </c>
      <c r="C57" t="s">
        <v>0</v>
      </c>
      <c r="D57">
        <v>101.1032</v>
      </c>
    </row>
    <row r="58" spans="1:9" customFormat="1" x14ac:dyDescent="0.2">
      <c r="A58" t="s">
        <v>14</v>
      </c>
      <c r="B58">
        <v>40.078000000000003</v>
      </c>
      <c r="C58" t="s">
        <v>39</v>
      </c>
      <c r="D58">
        <v>236.15</v>
      </c>
    </row>
    <row r="59" spans="1:9" customFormat="1" x14ac:dyDescent="0.2">
      <c r="A59" t="s">
        <v>15</v>
      </c>
      <c r="B59">
        <v>24.305</v>
      </c>
      <c r="C59" t="s">
        <v>1</v>
      </c>
      <c r="D59">
        <v>148.31479999999999</v>
      </c>
    </row>
    <row r="60" spans="1:9" customFormat="1" x14ac:dyDescent="0.2">
      <c r="A60" t="s">
        <v>17</v>
      </c>
      <c r="B60">
        <v>14.0067</v>
      </c>
      <c r="C60" t="s">
        <v>5</v>
      </c>
      <c r="D60">
        <v>174.25899999999999</v>
      </c>
    </row>
    <row r="61" spans="1:9" customFormat="1" x14ac:dyDescent="0.2">
      <c r="A61" t="s">
        <v>43</v>
      </c>
      <c r="B61">
        <v>16</v>
      </c>
      <c r="C61" t="s">
        <v>40</v>
      </c>
      <c r="D61">
        <v>246.4</v>
      </c>
    </row>
    <row r="62" spans="1:9" customFormat="1" x14ac:dyDescent="0.2">
      <c r="A62" t="s">
        <v>18</v>
      </c>
      <c r="B62">
        <v>32.064999999999998</v>
      </c>
      <c r="C62" t="s">
        <v>7</v>
      </c>
      <c r="D62">
        <v>136.08000000000001</v>
      </c>
    </row>
    <row r="63" spans="1:9" customFormat="1" x14ac:dyDescent="0.2">
      <c r="A63" t="s">
        <v>19</v>
      </c>
      <c r="B63">
        <v>30.97</v>
      </c>
    </row>
    <row r="64" spans="1:9" customFormat="1" x14ac:dyDescent="0.2">
      <c r="A64" t="s">
        <v>44</v>
      </c>
      <c r="B64">
        <v>1.004</v>
      </c>
    </row>
  </sheetData>
  <mergeCells count="6">
    <mergeCell ref="H17:H19"/>
    <mergeCell ref="I17:I19"/>
    <mergeCell ref="A19:G19"/>
    <mergeCell ref="H44:H47"/>
    <mergeCell ref="I44:I47"/>
    <mergeCell ref="A47:G47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topLeftCell="A2" zoomScale="91" workbookViewId="0">
      <selection activeCell="F28" sqref="F28"/>
    </sheetView>
  </sheetViews>
  <sheetFormatPr baseColWidth="10" defaultRowHeight="16" x14ac:dyDescent="0.2"/>
  <cols>
    <col min="3" max="3" width="14.1640625" bestFit="1" customWidth="1"/>
    <col min="4" max="4" width="12.33203125" bestFit="1" customWidth="1"/>
    <col min="5" max="5" width="16.33203125" bestFit="1" customWidth="1"/>
    <col min="6" max="6" width="23.33203125" bestFit="1" customWidth="1"/>
    <col min="9" max="9" width="12.1640625" bestFit="1" customWidth="1"/>
    <col min="10" max="10" width="16.33203125" bestFit="1" customWidth="1"/>
    <col min="11" max="11" width="16.1640625" bestFit="1" customWidth="1"/>
    <col min="12" max="12" width="23.33203125" bestFit="1" customWidth="1"/>
    <col min="13" max="14" width="10.83203125" style="2"/>
    <col min="15" max="15" width="13.33203125" bestFit="1" customWidth="1"/>
    <col min="16" max="16" width="14.33203125" bestFit="1" customWidth="1"/>
    <col min="17" max="17" width="16.1640625" bestFit="1" customWidth="1"/>
    <col min="18" max="18" width="23.33203125" bestFit="1" customWidth="1"/>
  </cols>
  <sheetData>
    <row r="2" spans="1:14" ht="34" customHeight="1" x14ac:dyDescent="0.2">
      <c r="A2" s="10" t="s">
        <v>49</v>
      </c>
      <c r="B2" s="10">
        <v>1</v>
      </c>
    </row>
    <row r="3" spans="1:14" x14ac:dyDescent="0.2">
      <c r="A3" s="6" t="s">
        <v>38</v>
      </c>
      <c r="B3" s="6" t="s">
        <v>0</v>
      </c>
      <c r="C3" s="6" t="s">
        <v>33</v>
      </c>
      <c r="D3" s="6" t="s">
        <v>1</v>
      </c>
      <c r="E3" s="6" t="s">
        <v>5</v>
      </c>
      <c r="F3" s="6" t="s">
        <v>34</v>
      </c>
      <c r="G3" s="6" t="s">
        <v>7</v>
      </c>
      <c r="H3" s="12" t="s">
        <v>16</v>
      </c>
      <c r="I3" s="15" t="s">
        <v>45</v>
      </c>
    </row>
    <row r="4" spans="1:14" x14ac:dyDescent="0.2">
      <c r="A4" s="6" t="s">
        <v>41</v>
      </c>
      <c r="B4" s="6">
        <v>288</v>
      </c>
      <c r="C4" s="6">
        <v>674</v>
      </c>
      <c r="D4" s="6">
        <v>105</v>
      </c>
      <c r="E4" s="6">
        <v>54</v>
      </c>
      <c r="F4" s="6">
        <v>461</v>
      </c>
      <c r="G4" s="6">
        <v>132</v>
      </c>
      <c r="H4" s="13"/>
      <c r="I4" s="16"/>
    </row>
    <row r="5" spans="1:14" x14ac:dyDescent="0.2">
      <c r="A5" s="18" t="s">
        <v>46</v>
      </c>
      <c r="B5" s="19"/>
      <c r="C5" s="19"/>
      <c r="D5" s="19"/>
      <c r="E5" s="19"/>
      <c r="F5" s="19"/>
      <c r="G5" s="20"/>
      <c r="H5" s="14"/>
      <c r="I5" s="17"/>
      <c r="K5" s="2"/>
      <c r="L5" s="2"/>
      <c r="M5"/>
      <c r="N5"/>
    </row>
    <row r="6" spans="1:14" x14ac:dyDescent="0.2">
      <c r="A6" s="6" t="s">
        <v>13</v>
      </c>
      <c r="B6" s="6">
        <f>(B4*39.09/101.1032)/1</f>
        <v>111.35077821473506</v>
      </c>
      <c r="C6" s="7"/>
      <c r="D6" s="7"/>
      <c r="E6" s="6">
        <f>(E4/174.259*2*39.09)/1</f>
        <v>24.2266970429074</v>
      </c>
      <c r="F6" s="7"/>
      <c r="G6" s="6">
        <f>(G4/136.08*39.09)/1</f>
        <v>37.917989417989418</v>
      </c>
      <c r="H6" s="6">
        <f>B6+E6+G6</f>
        <v>173.49546467563187</v>
      </c>
      <c r="I6" s="6" t="s">
        <v>28</v>
      </c>
      <c r="K6" s="2"/>
      <c r="L6" s="2"/>
      <c r="M6"/>
      <c r="N6"/>
    </row>
    <row r="7" spans="1:14" x14ac:dyDescent="0.2">
      <c r="A7" s="6" t="s">
        <v>14</v>
      </c>
      <c r="B7" s="7"/>
      <c r="C7" s="6">
        <f>(C4/236.15*40.078)/1</f>
        <v>114.38734702519585</v>
      </c>
      <c r="D7" s="7"/>
      <c r="E7" s="7"/>
      <c r="F7" s="7"/>
      <c r="G7" s="7"/>
      <c r="H7" s="6">
        <f>C7</f>
        <v>114.38734702519585</v>
      </c>
      <c r="I7" s="6" t="s">
        <v>29</v>
      </c>
      <c r="K7" s="2"/>
      <c r="L7" s="2"/>
      <c r="M7"/>
      <c r="N7"/>
    </row>
    <row r="8" spans="1:14" x14ac:dyDescent="0.2">
      <c r="A8" s="6" t="s">
        <v>15</v>
      </c>
      <c r="B8" s="7"/>
      <c r="C8" s="7"/>
      <c r="D8" s="6">
        <f>(D4/148.3148*24.305)/1</f>
        <v>17.206812806274222</v>
      </c>
      <c r="E8" s="7"/>
      <c r="F8" s="6">
        <f>(F4/246.4*24.305)/1</f>
        <v>45.473234577922071</v>
      </c>
      <c r="G8" s="7"/>
      <c r="H8" s="6">
        <f>D8+F8</f>
        <v>62.680047384196293</v>
      </c>
      <c r="I8" s="6" t="s">
        <v>30</v>
      </c>
      <c r="K8" s="2"/>
      <c r="L8" s="2"/>
      <c r="M8"/>
      <c r="N8"/>
    </row>
    <row r="9" spans="1:14" x14ac:dyDescent="0.2">
      <c r="A9" s="6" t="s">
        <v>17</v>
      </c>
      <c r="B9" s="6">
        <f>(B4/101.1032*14.0067)/1</f>
        <v>39.899128810957521</v>
      </c>
      <c r="C9" s="6">
        <f>(C4/236.15*2*14.0067)/1</f>
        <v>79.953553250052934</v>
      </c>
      <c r="D9" s="6">
        <f>(D4/D21*2*B22)/$B$2</f>
        <v>19.832188021694396</v>
      </c>
      <c r="E9" s="7"/>
      <c r="F9" s="7"/>
      <c r="G9" s="7"/>
      <c r="H9" s="6">
        <f>B9+C9+D9</f>
        <v>139.68487008270486</v>
      </c>
      <c r="I9" s="6" t="s">
        <v>26</v>
      </c>
      <c r="K9" s="2"/>
      <c r="L9" s="2"/>
      <c r="M9"/>
      <c r="N9"/>
    </row>
    <row r="10" spans="1:14" x14ac:dyDescent="0.2">
      <c r="A10" s="6" t="s">
        <v>18</v>
      </c>
      <c r="B10" s="7"/>
      <c r="C10" s="7"/>
      <c r="D10" s="7"/>
      <c r="E10" s="6">
        <f>(E4/174.259*32.065)/1</f>
        <v>9.9364164835101771</v>
      </c>
      <c r="F10" s="6">
        <f>(F4/246.4*32.065)/1</f>
        <v>59.991741071428564</v>
      </c>
      <c r="G10" s="7"/>
      <c r="H10" s="6">
        <f>E10+F10</f>
        <v>69.928157554938736</v>
      </c>
      <c r="I10" s="6" t="s">
        <v>31</v>
      </c>
      <c r="K10" s="2"/>
      <c r="L10" s="2"/>
      <c r="M10"/>
      <c r="N10"/>
    </row>
    <row r="11" spans="1:14" x14ac:dyDescent="0.2">
      <c r="A11" s="6" t="s">
        <v>19</v>
      </c>
      <c r="B11" s="7"/>
      <c r="C11" s="7"/>
      <c r="D11" s="7"/>
      <c r="E11" s="7"/>
      <c r="F11" s="7"/>
      <c r="G11" s="6">
        <f>(G4/136.08*30.97)/1</f>
        <v>30.041446208112873</v>
      </c>
      <c r="H11" s="6">
        <f>G11</f>
        <v>30.041446208112873</v>
      </c>
      <c r="I11" s="6" t="s">
        <v>27</v>
      </c>
    </row>
    <row r="12" spans="1:14" x14ac:dyDescent="0.2">
      <c r="A12" s="8"/>
      <c r="B12" s="8"/>
      <c r="C12" s="8"/>
      <c r="D12" s="8"/>
      <c r="E12" s="8"/>
      <c r="F12" s="8"/>
      <c r="G12" s="8"/>
      <c r="H12" s="8"/>
      <c r="I12" s="8"/>
    </row>
    <row r="13" spans="1:14" s="2" customFormat="1" x14ac:dyDescent="0.2">
      <c r="A13" s="11" t="s">
        <v>48</v>
      </c>
      <c r="B13" s="9">
        <v>2</v>
      </c>
      <c r="C13" s="8"/>
      <c r="D13" s="8"/>
      <c r="E13" s="8"/>
      <c r="F13" s="8"/>
      <c r="G13" s="8"/>
      <c r="H13" s="8"/>
      <c r="I13" s="8"/>
    </row>
    <row r="14" spans="1:14" s="2" customFormat="1" x14ac:dyDescent="0.2">
      <c r="A14" s="6" t="s">
        <v>38</v>
      </c>
      <c r="B14" s="6" t="s">
        <v>0</v>
      </c>
      <c r="C14" s="6" t="s">
        <v>33</v>
      </c>
      <c r="D14" s="6" t="s">
        <v>1</v>
      </c>
      <c r="E14" s="6" t="s">
        <v>5</v>
      </c>
      <c r="F14" s="6" t="s">
        <v>34</v>
      </c>
      <c r="G14" s="6" t="s">
        <v>7</v>
      </c>
      <c r="H14" s="8"/>
      <c r="I14" s="8"/>
    </row>
    <row r="15" spans="1:14" x14ac:dyDescent="0.2">
      <c r="A15" s="9" t="s">
        <v>50</v>
      </c>
      <c r="B15" s="6">
        <f>B4*$B$13</f>
        <v>576</v>
      </c>
      <c r="C15" s="6">
        <f t="shared" ref="C15:G15" si="0">C4*$B$13</f>
        <v>1348</v>
      </c>
      <c r="D15" s="6">
        <f t="shared" si="0"/>
        <v>210</v>
      </c>
      <c r="E15" s="6">
        <f t="shared" si="0"/>
        <v>108</v>
      </c>
      <c r="F15" s="6">
        <f t="shared" si="0"/>
        <v>922</v>
      </c>
      <c r="G15" s="6">
        <f t="shared" si="0"/>
        <v>264</v>
      </c>
    </row>
    <row r="16" spans="1:14" x14ac:dyDescent="0.2">
      <c r="A16" s="8"/>
    </row>
    <row r="17" spans="1:14" x14ac:dyDescent="0.2">
      <c r="A17" t="s">
        <v>36</v>
      </c>
    </row>
    <row r="18" spans="1:14" x14ac:dyDescent="0.2">
      <c r="A18" t="s">
        <v>35</v>
      </c>
      <c r="C18" t="s">
        <v>37</v>
      </c>
    </row>
    <row r="19" spans="1:14" x14ac:dyDescent="0.2">
      <c r="A19" t="s">
        <v>13</v>
      </c>
      <c r="B19">
        <v>39.090000000000003</v>
      </c>
      <c r="C19" t="s">
        <v>0</v>
      </c>
      <c r="D19">
        <v>101.1032</v>
      </c>
      <c r="M19"/>
      <c r="N19"/>
    </row>
    <row r="20" spans="1:14" x14ac:dyDescent="0.2">
      <c r="A20" t="s">
        <v>14</v>
      </c>
      <c r="B20">
        <v>40.078000000000003</v>
      </c>
      <c r="C20" t="s">
        <v>39</v>
      </c>
      <c r="D20">
        <v>236.15</v>
      </c>
      <c r="M20"/>
      <c r="N20"/>
    </row>
    <row r="21" spans="1:14" x14ac:dyDescent="0.2">
      <c r="A21" t="s">
        <v>15</v>
      </c>
      <c r="B21">
        <v>24.305</v>
      </c>
      <c r="C21" t="s">
        <v>1</v>
      </c>
      <c r="D21">
        <v>148.31479999999999</v>
      </c>
      <c r="M21"/>
      <c r="N21"/>
    </row>
    <row r="22" spans="1:14" x14ac:dyDescent="0.2">
      <c r="A22" t="s">
        <v>17</v>
      </c>
      <c r="B22">
        <v>14.0067</v>
      </c>
      <c r="C22" t="s">
        <v>5</v>
      </c>
      <c r="D22">
        <v>174.25899999999999</v>
      </c>
      <c r="M22"/>
      <c r="N22"/>
    </row>
    <row r="23" spans="1:14" x14ac:dyDescent="0.2">
      <c r="A23" t="s">
        <v>43</v>
      </c>
      <c r="B23">
        <v>16</v>
      </c>
      <c r="C23" t="s">
        <v>40</v>
      </c>
      <c r="D23">
        <v>246.4</v>
      </c>
      <c r="M23"/>
      <c r="N23"/>
    </row>
    <row r="24" spans="1:14" x14ac:dyDescent="0.2">
      <c r="A24" t="s">
        <v>18</v>
      </c>
      <c r="B24">
        <v>32.064999999999998</v>
      </c>
      <c r="C24" t="s">
        <v>7</v>
      </c>
      <c r="D24">
        <v>136.08000000000001</v>
      </c>
      <c r="M24"/>
      <c r="N24"/>
    </row>
    <row r="25" spans="1:14" x14ac:dyDescent="0.2">
      <c r="A25" t="s">
        <v>19</v>
      </c>
      <c r="B25">
        <v>30.97</v>
      </c>
      <c r="M25"/>
      <c r="N25"/>
    </row>
    <row r="26" spans="1:14" x14ac:dyDescent="0.2">
      <c r="A26" t="s">
        <v>44</v>
      </c>
      <c r="B26">
        <v>1.004</v>
      </c>
      <c r="M26"/>
      <c r="N26"/>
    </row>
  </sheetData>
  <mergeCells count="3">
    <mergeCell ref="H3:H5"/>
    <mergeCell ref="I3:I5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Edited version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Mavreen Rose Tuvilla</dc:creator>
  <cp:lastModifiedBy>Microsoft Office User</cp:lastModifiedBy>
  <dcterms:created xsi:type="dcterms:W3CDTF">2016-06-09T06:43:17Z</dcterms:created>
  <dcterms:modified xsi:type="dcterms:W3CDTF">2016-06-22T20:20:39Z</dcterms:modified>
</cp:coreProperties>
</file>