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minjung/Google Drive/IN MSP/Hydroponics/"/>
    </mc:Choice>
  </mc:AlternateContent>
  <bookViews>
    <workbookView xWindow="10380" yWindow="460" windowWidth="29800" windowHeight="26740" tabRatio="500" activeTab="2"/>
  </bookViews>
  <sheets>
    <sheet name="Control" sheetId="1" r:id="rId1"/>
    <sheet name="N-deficient" sheetId="3" r:id="rId2"/>
    <sheet name="P-deficient" sheetId="4" r:id="rId3"/>
    <sheet name="Sheet2" sheetId="2" r:id="rId4"/>
  </sheets>
  <definedNames>
    <definedName name="_xlnm.Print_Area" localSheetId="0">Control!$A$1:$T$39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N27" i="4"/>
  <c r="K36" i="4"/>
  <c r="K37" i="4"/>
  <c r="J27" i="4"/>
  <c r="J29" i="4"/>
  <c r="J30" i="4"/>
  <c r="J31" i="4"/>
  <c r="J32" i="4"/>
  <c r="J33" i="4"/>
  <c r="G36" i="4"/>
  <c r="G37" i="4"/>
  <c r="F27" i="4"/>
  <c r="F28" i="4"/>
  <c r="F34" i="4"/>
  <c r="C36" i="4"/>
  <c r="C37" i="4"/>
  <c r="R35" i="4"/>
  <c r="S35" i="4"/>
  <c r="T35" i="4"/>
  <c r="S34" i="4"/>
  <c r="T34" i="4"/>
  <c r="S33" i="4"/>
  <c r="T33" i="4"/>
  <c r="S32" i="4"/>
  <c r="T32" i="4"/>
  <c r="S31" i="4"/>
  <c r="T31" i="4"/>
  <c r="S30" i="4"/>
  <c r="T30" i="4"/>
  <c r="S29" i="4"/>
  <c r="T29" i="4"/>
  <c r="S28" i="4"/>
  <c r="T28" i="4"/>
  <c r="J28" i="4"/>
  <c r="S27" i="4"/>
  <c r="T27" i="4"/>
  <c r="K21" i="4"/>
  <c r="K22" i="4"/>
  <c r="G21" i="4"/>
  <c r="G22" i="4"/>
  <c r="C21" i="4"/>
  <c r="C22" i="4"/>
  <c r="S20" i="4"/>
  <c r="T20" i="4"/>
  <c r="S19" i="4"/>
  <c r="T19" i="4"/>
  <c r="S18" i="4"/>
  <c r="T18" i="4"/>
  <c r="S17" i="4"/>
  <c r="T17" i="4"/>
  <c r="S16" i="4"/>
  <c r="T16" i="4"/>
  <c r="S15" i="4"/>
  <c r="T15" i="4"/>
  <c r="S14" i="4"/>
  <c r="T14" i="4"/>
  <c r="S13" i="4"/>
  <c r="T13" i="4"/>
  <c r="S12" i="4"/>
  <c r="T12" i="4"/>
  <c r="J2" i="4"/>
  <c r="N27" i="3"/>
  <c r="K36" i="3"/>
  <c r="K37" i="3"/>
  <c r="J27" i="3"/>
  <c r="J29" i="3"/>
  <c r="J30" i="3"/>
  <c r="J31" i="3"/>
  <c r="J32" i="3"/>
  <c r="J33" i="3"/>
  <c r="G36" i="3"/>
  <c r="G37" i="3"/>
  <c r="F27" i="3"/>
  <c r="F28" i="3"/>
  <c r="F34" i="3"/>
  <c r="C36" i="3"/>
  <c r="C37" i="3"/>
  <c r="R35" i="3"/>
  <c r="S35" i="3"/>
  <c r="T35" i="3"/>
  <c r="S34" i="3"/>
  <c r="T34" i="3"/>
  <c r="S33" i="3"/>
  <c r="T33" i="3"/>
  <c r="S32" i="3"/>
  <c r="T32" i="3"/>
  <c r="S31" i="3"/>
  <c r="T31" i="3"/>
  <c r="S30" i="3"/>
  <c r="T30" i="3"/>
  <c r="S29" i="3"/>
  <c r="T29" i="3"/>
  <c r="S28" i="3"/>
  <c r="T28" i="3"/>
  <c r="J28" i="3"/>
  <c r="S27" i="3"/>
  <c r="T27" i="3"/>
  <c r="K21" i="3"/>
  <c r="K22" i="3"/>
  <c r="G21" i="3"/>
  <c r="G22" i="3"/>
  <c r="C21" i="3"/>
  <c r="C22" i="3"/>
  <c r="S20" i="3"/>
  <c r="T20" i="3"/>
  <c r="S19" i="3"/>
  <c r="T19" i="3"/>
  <c r="S18" i="3"/>
  <c r="T18" i="3"/>
  <c r="S17" i="3"/>
  <c r="T17" i="3"/>
  <c r="S16" i="3"/>
  <c r="T16" i="3"/>
  <c r="S15" i="3"/>
  <c r="T15" i="3"/>
  <c r="S14" i="3"/>
  <c r="T14" i="3"/>
  <c r="S13" i="3"/>
  <c r="T13" i="3"/>
  <c r="S12" i="3"/>
  <c r="T12" i="3"/>
  <c r="J2" i="3"/>
  <c r="F28" i="1"/>
  <c r="F27" i="1"/>
  <c r="C36" i="1"/>
  <c r="C21" i="1"/>
  <c r="S20" i="1"/>
  <c r="K21" i="1"/>
  <c r="F34" i="1"/>
  <c r="S34" i="1"/>
  <c r="S19" i="1"/>
  <c r="S35" i="1"/>
  <c r="J33" i="1"/>
  <c r="S33" i="1"/>
  <c r="S32" i="1"/>
  <c r="J31" i="1"/>
  <c r="S31" i="1"/>
  <c r="S30" i="1"/>
  <c r="J29" i="1"/>
  <c r="S29" i="1"/>
  <c r="S28" i="1"/>
  <c r="J27" i="1"/>
  <c r="S27" i="1"/>
  <c r="S12" i="1"/>
  <c r="S18" i="1"/>
  <c r="K36" i="1"/>
  <c r="G36" i="1"/>
  <c r="G37" i="1"/>
  <c r="J2" i="1"/>
  <c r="G22" i="1"/>
  <c r="R35" i="1"/>
  <c r="J32" i="1"/>
  <c r="J30" i="1"/>
  <c r="N27" i="1"/>
  <c r="K37" i="1"/>
  <c r="T35" i="1"/>
  <c r="T34" i="1"/>
  <c r="T33" i="1"/>
  <c r="T32" i="1"/>
  <c r="T31" i="1"/>
  <c r="T30" i="1"/>
  <c r="T29" i="1"/>
  <c r="T28" i="1"/>
  <c r="T27" i="1"/>
  <c r="S17" i="1"/>
  <c r="S16" i="1"/>
  <c r="S15" i="1"/>
  <c r="S14" i="1"/>
  <c r="S13" i="1"/>
  <c r="J28" i="1"/>
  <c r="C22" i="1"/>
  <c r="C37" i="1"/>
  <c r="K22" i="1"/>
  <c r="T13" i="1"/>
  <c r="T14" i="1"/>
  <c r="T15" i="1"/>
  <c r="T16" i="1"/>
  <c r="T17" i="1"/>
  <c r="T18" i="1"/>
  <c r="T19" i="1"/>
  <c r="T20" i="1"/>
  <c r="T12" i="1"/>
</calcChain>
</file>

<file path=xl/sharedStrings.xml><?xml version="1.0" encoding="utf-8"?>
<sst xmlns="http://schemas.openxmlformats.org/spreadsheetml/2006/main" count="420" uniqueCount="74">
  <si>
    <t>K2SO4</t>
  </si>
  <si>
    <t>Positive ions</t>
  </si>
  <si>
    <t>Sulfate</t>
  </si>
  <si>
    <t>Nitrate</t>
  </si>
  <si>
    <t>Phosphate</t>
  </si>
  <si>
    <t>Calcium (Ca)</t>
  </si>
  <si>
    <t>Magnesium (Mg)</t>
  </si>
  <si>
    <t>KNO3</t>
  </si>
  <si>
    <t>CaSO4</t>
  </si>
  <si>
    <t>KH2PO4</t>
  </si>
  <si>
    <t>CaHPO4</t>
  </si>
  <si>
    <t>MgHPO4</t>
  </si>
  <si>
    <t>Copper (Cu)</t>
  </si>
  <si>
    <t>Iron (Fe)</t>
  </si>
  <si>
    <t>Manganese</t>
  </si>
  <si>
    <t>Zinc (Zn)</t>
  </si>
  <si>
    <t>Solubility at RT</t>
  </si>
  <si>
    <t>MW</t>
  </si>
  <si>
    <t>29.51g/100ml</t>
  </si>
  <si>
    <t xml:space="preserve">Potasium (K) </t>
  </si>
  <si>
    <t>316g/L</t>
  </si>
  <si>
    <t>1212g/L</t>
  </si>
  <si>
    <t>120g/L</t>
  </si>
  <si>
    <t>4.93*10^(-5)</t>
  </si>
  <si>
    <t>35.1g/100ml</t>
  </si>
  <si>
    <t>70 g/100 mL (7oC)</t>
  </si>
  <si>
    <t>57.7 g/100 mL (if pH &lt;5)</t>
  </si>
  <si>
    <t>22.6 g/100 mL</t>
  </si>
  <si>
    <t>K</t>
  </si>
  <si>
    <t>Ca</t>
  </si>
  <si>
    <t>Mg</t>
  </si>
  <si>
    <t>S</t>
  </si>
  <si>
    <t>N</t>
  </si>
  <si>
    <t>P</t>
  </si>
  <si>
    <t>Fe</t>
  </si>
  <si>
    <t>Mn</t>
  </si>
  <si>
    <t>Cu</t>
  </si>
  <si>
    <t>Zn</t>
  </si>
  <si>
    <t>B</t>
  </si>
  <si>
    <t>Others</t>
  </si>
  <si>
    <t>5.7g/100ml</t>
  </si>
  <si>
    <t>Chemical Formula</t>
  </si>
  <si>
    <t>BH3O3</t>
  </si>
  <si>
    <t>Boron (Boric Acid)</t>
  </si>
  <si>
    <t>Total Amount (gram/liter)</t>
  </si>
  <si>
    <t>ppm</t>
  </si>
  <si>
    <t>Solubiulity at RT</t>
  </si>
  <si>
    <t>Nonmetals</t>
  </si>
  <si>
    <t>Total Amount (g/L)</t>
  </si>
  <si>
    <t>Nitrogen</t>
  </si>
  <si>
    <t>Sulfur</t>
  </si>
  <si>
    <t>Phosphorus</t>
  </si>
  <si>
    <t>32g/100ml</t>
  </si>
  <si>
    <r>
      <t>CuSO</t>
    </r>
    <r>
      <rPr>
        <vertAlign val="subscript"/>
        <sz val="12"/>
        <color rgb="FF000000"/>
        <rFont val="Calibri"/>
        <family val="2"/>
        <scheme val="minor"/>
      </rPr>
      <t>4</t>
    </r>
    <r>
      <rPr>
        <sz val="12"/>
        <color rgb="FF000000"/>
        <rFont val="Calibri"/>
        <scheme val="minor"/>
      </rPr>
      <t>·5H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scheme val="minor"/>
      </rPr>
      <t>O</t>
    </r>
  </si>
  <si>
    <t>g/L</t>
  </si>
  <si>
    <t>L</t>
  </si>
  <si>
    <t>Total Solution Volume</t>
  </si>
  <si>
    <t>Metals (Positive ions)</t>
  </si>
  <si>
    <t>Nonmetals (Polyatomic negative ions)</t>
  </si>
  <si>
    <t>Nitrate (NO3-)</t>
  </si>
  <si>
    <t>Sulfate (SO42-)</t>
  </si>
  <si>
    <t>Phosphate (PO43-, HPO42-, H2PHO-)</t>
  </si>
  <si>
    <t>MgSO4·7H2O</t>
  </si>
  <si>
    <t>MnSO4·H2O</t>
  </si>
  <si>
    <t>ZnSO4·7H2O</t>
  </si>
  <si>
    <t>Ca(NO3)2·4H2O</t>
  </si>
  <si>
    <t>(NH4)6Mo7O24·4H2O</t>
  </si>
  <si>
    <t>Molybddenum (Ammonium heptamolybdate)</t>
  </si>
  <si>
    <t>Mo</t>
  </si>
  <si>
    <t>Molybddenum (Mo)</t>
  </si>
  <si>
    <t>Nitrate or other nitrogen source</t>
  </si>
  <si>
    <t>43g/100ml</t>
  </si>
  <si>
    <t>Fe(II)SO4·7H2O</t>
  </si>
  <si>
    <t>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</si>
</sst>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vertAlign val="subscript"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0" xfId="0" applyFont="1" applyFill="1"/>
    <xf numFmtId="0" fontId="0" fillId="0" borderId="0" xfId="0" applyFont="1" applyFill="1"/>
    <xf numFmtId="0" fontId="2" fillId="0" borderId="0" xfId="0" applyFont="1" applyFill="1" applyBorder="1"/>
    <xf numFmtId="164" fontId="0" fillId="0" borderId="0" xfId="0" applyNumberFormat="1" applyFont="1" applyAlignment="1">
      <alignment wrapText="1"/>
    </xf>
    <xf numFmtId="0" fontId="0" fillId="3" borderId="4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0" fillId="4" borderId="5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Font="1" applyFill="1" applyBorder="1"/>
    <xf numFmtId="0" fontId="0" fillId="0" borderId="24" xfId="0" applyFont="1" applyFill="1" applyBorder="1"/>
    <xf numFmtId="0" fontId="1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5" borderId="0" xfId="0" applyFont="1" applyFill="1"/>
    <xf numFmtId="0" fontId="0" fillId="4" borderId="8" xfId="0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10" zoomScale="125" zoomScaleNormal="125" zoomScalePageLayoutView="125" workbookViewId="0">
      <selection activeCell="H33" sqref="H33"/>
    </sheetView>
  </sheetViews>
  <sheetFormatPr baseColWidth="10" defaultRowHeight="16" x14ac:dyDescent="0.2"/>
  <cols>
    <col min="1" max="1" width="34.33203125" style="6" bestFit="1" customWidth="1"/>
    <col min="2" max="2" width="12.1640625" style="6" bestFit="1" customWidth="1"/>
    <col min="3" max="4" width="10.83203125" style="6"/>
    <col min="5" max="5" width="11.5" style="6" bestFit="1" customWidth="1"/>
    <col min="6" max="6" width="11.5" style="6" customWidth="1"/>
    <col min="7" max="7" width="12.5" style="6" customWidth="1"/>
    <col min="8" max="8" width="10.83203125" style="6" customWidth="1"/>
    <col min="9" max="9" width="18.33203125" style="6" customWidth="1"/>
    <col min="10" max="10" width="13.1640625" style="6" customWidth="1"/>
    <col min="11" max="17" width="10.83203125" style="6" customWidth="1"/>
    <col min="18" max="18" width="11.83203125" style="6" customWidth="1"/>
    <col min="19" max="19" width="11.83203125" style="6" bestFit="1" customWidth="1"/>
    <col min="20" max="16384" width="10.83203125" style="6"/>
  </cols>
  <sheetData>
    <row r="1" spans="1:20" x14ac:dyDescent="0.2">
      <c r="B1" s="6" t="s">
        <v>17</v>
      </c>
    </row>
    <row r="2" spans="1:20" x14ac:dyDescent="0.2">
      <c r="B2" s="6" t="s">
        <v>28</v>
      </c>
      <c r="C2" s="6">
        <v>39</v>
      </c>
      <c r="F2" s="6" t="s">
        <v>34</v>
      </c>
      <c r="G2" s="6">
        <v>56</v>
      </c>
      <c r="J2" s="6">
        <f>56*2+(32+16*4)*3+18</f>
        <v>418</v>
      </c>
    </row>
    <row r="3" spans="1:20" x14ac:dyDescent="0.2">
      <c r="B3" s="6" t="s">
        <v>29</v>
      </c>
      <c r="C3" s="6">
        <v>40</v>
      </c>
      <c r="F3" s="6" t="s">
        <v>35</v>
      </c>
      <c r="G3" s="6">
        <v>55</v>
      </c>
    </row>
    <row r="4" spans="1:20" x14ac:dyDescent="0.2">
      <c r="B4" s="6" t="s">
        <v>30</v>
      </c>
      <c r="C4" s="6">
        <v>24</v>
      </c>
      <c r="F4" s="6" t="s">
        <v>36</v>
      </c>
      <c r="G4" s="6">
        <v>64</v>
      </c>
    </row>
    <row r="5" spans="1:20" x14ac:dyDescent="0.2">
      <c r="B5" s="6" t="s">
        <v>32</v>
      </c>
      <c r="C5" s="6">
        <v>14</v>
      </c>
      <c r="F5" s="6" t="s">
        <v>37</v>
      </c>
      <c r="G5" s="6">
        <v>65</v>
      </c>
    </row>
    <row r="6" spans="1:20" x14ac:dyDescent="0.2">
      <c r="B6" s="6" t="s">
        <v>31</v>
      </c>
      <c r="C6" s="6">
        <v>32</v>
      </c>
      <c r="F6" s="6" t="s">
        <v>38</v>
      </c>
      <c r="G6" s="6">
        <v>11</v>
      </c>
    </row>
    <row r="7" spans="1:20" x14ac:dyDescent="0.2">
      <c r="B7" s="6" t="s">
        <v>33</v>
      </c>
      <c r="C7" s="6">
        <v>31</v>
      </c>
      <c r="F7" s="6" t="s">
        <v>68</v>
      </c>
      <c r="G7" s="6">
        <v>96</v>
      </c>
    </row>
    <row r="9" spans="1:20" ht="17" thickBot="1" x14ac:dyDescent="0.25">
      <c r="A9" s="1" t="s">
        <v>56</v>
      </c>
      <c r="B9" s="18">
        <v>1</v>
      </c>
      <c r="C9" s="1" t="s">
        <v>55</v>
      </c>
    </row>
    <row r="10" spans="1:20" x14ac:dyDescent="0.2">
      <c r="B10" s="1" t="s">
        <v>47</v>
      </c>
      <c r="C10" s="7" t="s">
        <v>70</v>
      </c>
      <c r="D10" s="8"/>
      <c r="E10" s="8"/>
      <c r="F10" s="9"/>
      <c r="G10" s="7" t="s">
        <v>2</v>
      </c>
      <c r="H10" s="8"/>
      <c r="I10" s="8"/>
      <c r="J10" s="9"/>
      <c r="K10" s="7" t="s">
        <v>4</v>
      </c>
      <c r="L10" s="8"/>
      <c r="M10" s="8"/>
      <c r="N10" s="9"/>
      <c r="O10" s="7" t="s">
        <v>39</v>
      </c>
      <c r="P10" s="8"/>
      <c r="Q10" s="8"/>
      <c r="R10" s="9"/>
      <c r="S10" s="6" t="s">
        <v>44</v>
      </c>
      <c r="T10" s="6" t="s">
        <v>45</v>
      </c>
    </row>
    <row r="11" spans="1:20" s="10" customFormat="1" ht="32" x14ac:dyDescent="0.2">
      <c r="A11" s="2" t="s">
        <v>1</v>
      </c>
      <c r="C11" s="11"/>
      <c r="D11" s="12" t="s">
        <v>17</v>
      </c>
      <c r="E11" s="12" t="s">
        <v>16</v>
      </c>
      <c r="F11" s="13" t="s">
        <v>54</v>
      </c>
      <c r="G11" s="11"/>
      <c r="H11" s="12" t="s">
        <v>17</v>
      </c>
      <c r="I11" s="12" t="s">
        <v>16</v>
      </c>
      <c r="J11" s="13" t="s">
        <v>54</v>
      </c>
      <c r="K11" s="11"/>
      <c r="L11" s="12" t="s">
        <v>17</v>
      </c>
      <c r="M11" s="12" t="s">
        <v>16</v>
      </c>
      <c r="N11" s="13" t="s">
        <v>54</v>
      </c>
      <c r="O11" s="11" t="s">
        <v>41</v>
      </c>
      <c r="P11" s="12" t="s">
        <v>17</v>
      </c>
      <c r="Q11" s="12" t="s">
        <v>46</v>
      </c>
      <c r="R11" s="13" t="s">
        <v>54</v>
      </c>
    </row>
    <row r="12" spans="1:20" x14ac:dyDescent="0.2">
      <c r="A12" s="18" t="s">
        <v>19</v>
      </c>
      <c r="B12" s="18"/>
      <c r="C12" s="3" t="s">
        <v>7</v>
      </c>
      <c r="D12" s="4">
        <v>101.1</v>
      </c>
      <c r="E12" s="4" t="s">
        <v>20</v>
      </c>
      <c r="F12" s="5">
        <v>0.8</v>
      </c>
      <c r="G12" s="3" t="s">
        <v>0</v>
      </c>
      <c r="H12" s="4">
        <v>174.3</v>
      </c>
      <c r="I12" s="4" t="s">
        <v>22</v>
      </c>
      <c r="J12" s="5">
        <v>0</v>
      </c>
      <c r="K12" s="3" t="s">
        <v>9</v>
      </c>
      <c r="L12" s="19">
        <v>136.1</v>
      </c>
      <c r="M12" s="4" t="s">
        <v>27</v>
      </c>
      <c r="N12" s="5">
        <v>0.2</v>
      </c>
      <c r="O12" s="16"/>
      <c r="P12" s="14"/>
      <c r="Q12" s="14"/>
      <c r="R12" s="15"/>
      <c r="S12" s="10">
        <f>F12*$C$2/D12+2*J12*$C$2/H12+N12*$C$2/L12</f>
        <v>0.3659161421279955</v>
      </c>
      <c r="T12" s="17">
        <f>S12*1000</f>
        <v>365.9161421279955</v>
      </c>
    </row>
    <row r="13" spans="1:20" x14ac:dyDescent="0.2">
      <c r="A13" s="18" t="s">
        <v>5</v>
      </c>
      <c r="B13" s="18"/>
      <c r="C13" s="3" t="s">
        <v>65</v>
      </c>
      <c r="D13" s="4">
        <v>236.15</v>
      </c>
      <c r="E13" s="4" t="s">
        <v>21</v>
      </c>
      <c r="F13" s="5">
        <v>0.7</v>
      </c>
      <c r="G13" s="21" t="s">
        <v>8</v>
      </c>
      <c r="H13" s="22">
        <v>136.1</v>
      </c>
      <c r="I13" s="22" t="s">
        <v>23</v>
      </c>
      <c r="J13" s="23">
        <v>0</v>
      </c>
      <c r="K13" s="3"/>
      <c r="L13" s="4"/>
      <c r="M13" s="4"/>
      <c r="N13" s="5"/>
      <c r="O13" s="16"/>
      <c r="P13" s="14"/>
      <c r="Q13" s="14"/>
      <c r="R13" s="15"/>
      <c r="S13" s="10">
        <f>F13*$C$3/D13</f>
        <v>0.118568706330722</v>
      </c>
      <c r="T13" s="17">
        <f t="shared" ref="T13:T20" si="0">S13*1000</f>
        <v>118.56870633072199</v>
      </c>
    </row>
    <row r="14" spans="1:20" x14ac:dyDescent="0.2">
      <c r="A14" s="18" t="s">
        <v>6</v>
      </c>
      <c r="B14" s="18"/>
      <c r="C14" s="3"/>
      <c r="D14" s="4"/>
      <c r="E14" s="4"/>
      <c r="F14" s="5"/>
      <c r="G14" s="3" t="s">
        <v>62</v>
      </c>
      <c r="H14" s="4">
        <v>246.4</v>
      </c>
      <c r="I14" s="4" t="s">
        <v>24</v>
      </c>
      <c r="J14" s="5">
        <v>0.7</v>
      </c>
      <c r="K14" s="3"/>
      <c r="L14" s="4"/>
      <c r="M14" s="4"/>
      <c r="N14" s="5"/>
      <c r="O14" s="16"/>
      <c r="P14" s="14"/>
      <c r="Q14" s="14"/>
      <c r="R14" s="15"/>
      <c r="S14" s="10">
        <f>J14*$C$4/H14</f>
        <v>6.8181818181818163E-2</v>
      </c>
      <c r="T14" s="17">
        <f t="shared" si="0"/>
        <v>68.181818181818159</v>
      </c>
    </row>
    <row r="15" spans="1:20" x14ac:dyDescent="0.2">
      <c r="A15" s="18" t="s">
        <v>13</v>
      </c>
      <c r="B15" s="18"/>
      <c r="C15" s="3"/>
      <c r="D15" s="4"/>
      <c r="E15" s="4"/>
      <c r="F15" s="5"/>
      <c r="G15" s="3" t="s">
        <v>72</v>
      </c>
      <c r="H15" s="4">
        <v>278.02</v>
      </c>
      <c r="I15" s="4" t="s">
        <v>18</v>
      </c>
      <c r="J15" s="5">
        <v>0.01</v>
      </c>
      <c r="K15" s="3"/>
      <c r="L15" s="4"/>
      <c r="M15" s="4"/>
      <c r="N15" s="5"/>
      <c r="O15" s="3"/>
      <c r="P15" s="4"/>
      <c r="Q15" s="4"/>
      <c r="R15" s="5"/>
      <c r="S15" s="18">
        <f>J15*$G$2/H15</f>
        <v>2.0142435795985902E-3</v>
      </c>
      <c r="T15" s="17">
        <f t="shared" si="0"/>
        <v>2.01424357959859</v>
      </c>
    </row>
    <row r="16" spans="1:20" x14ac:dyDescent="0.2">
      <c r="A16" s="18" t="s">
        <v>14</v>
      </c>
      <c r="B16" s="18"/>
      <c r="C16" s="3"/>
      <c r="D16" s="4"/>
      <c r="E16" s="4"/>
      <c r="F16" s="5"/>
      <c r="G16" s="3" t="s">
        <v>63</v>
      </c>
      <c r="H16" s="4">
        <v>169.02</v>
      </c>
      <c r="I16" s="19" t="s">
        <v>25</v>
      </c>
      <c r="J16" s="25">
        <v>3.0000000000000001E-3</v>
      </c>
      <c r="K16" s="3"/>
      <c r="L16" s="4"/>
      <c r="M16" s="4"/>
      <c r="N16" s="5"/>
      <c r="O16" s="3"/>
      <c r="P16" s="4"/>
      <c r="Q16" s="4"/>
      <c r="R16" s="5"/>
      <c r="S16" s="18">
        <f>J16*$G$3/H16</f>
        <v>9.7621583244586441E-4</v>
      </c>
      <c r="T16" s="17">
        <f t="shared" si="0"/>
        <v>0.97621583244586441</v>
      </c>
    </row>
    <row r="17" spans="1:20" ht="18" x14ac:dyDescent="0.25">
      <c r="A17" s="18" t="s">
        <v>12</v>
      </c>
      <c r="B17" s="18"/>
      <c r="C17" s="3"/>
      <c r="D17" s="4"/>
      <c r="E17" s="4"/>
      <c r="F17" s="5"/>
      <c r="G17" s="26" t="s">
        <v>53</v>
      </c>
      <c r="H17" s="26">
        <v>249.685</v>
      </c>
      <c r="I17" s="19" t="s">
        <v>52</v>
      </c>
      <c r="J17" s="25">
        <v>1E-3</v>
      </c>
      <c r="K17" s="3"/>
      <c r="L17" s="4"/>
      <c r="M17" s="4"/>
      <c r="N17" s="5"/>
      <c r="O17" s="3"/>
      <c r="P17" s="4"/>
      <c r="Q17" s="4"/>
      <c r="R17" s="5"/>
      <c r="S17" s="18">
        <f>J17*$G$4/H17</f>
        <v>2.5632296693834229E-4</v>
      </c>
      <c r="T17" s="17">
        <f t="shared" si="0"/>
        <v>0.25632296693834228</v>
      </c>
    </row>
    <row r="18" spans="1:20" x14ac:dyDescent="0.2">
      <c r="A18" s="18" t="s">
        <v>15</v>
      </c>
      <c r="B18" s="18"/>
      <c r="C18" s="3"/>
      <c r="D18" s="4"/>
      <c r="E18" s="4"/>
      <c r="F18" s="5"/>
      <c r="G18" s="3" t="s">
        <v>64</v>
      </c>
      <c r="H18" s="19">
        <v>287.54000000000002</v>
      </c>
      <c r="I18" s="4" t="s">
        <v>26</v>
      </c>
      <c r="J18" s="5">
        <v>2E-3</v>
      </c>
      <c r="K18" s="3"/>
      <c r="L18" s="4"/>
      <c r="M18" s="4"/>
      <c r="N18" s="5"/>
      <c r="O18" s="3"/>
      <c r="P18" s="4"/>
      <c r="Q18" s="4"/>
      <c r="R18" s="5"/>
      <c r="S18" s="18">
        <f>J18*$G$5/H18</f>
        <v>4.5211101064199764E-4</v>
      </c>
      <c r="T18" s="17">
        <f t="shared" si="0"/>
        <v>0.45211101064199766</v>
      </c>
    </row>
    <row r="19" spans="1:20" x14ac:dyDescent="0.2">
      <c r="A19" s="18" t="s">
        <v>69</v>
      </c>
      <c r="B19" s="18"/>
      <c r="C19" s="3" t="s">
        <v>66</v>
      </c>
      <c r="D19" s="6">
        <v>1235.8599999999999</v>
      </c>
      <c r="E19" s="4" t="s">
        <v>71</v>
      </c>
      <c r="F19" s="5">
        <v>1E-4</v>
      </c>
      <c r="G19" s="3"/>
      <c r="H19" s="4"/>
      <c r="I19" s="4"/>
      <c r="J19" s="5"/>
      <c r="K19" s="3"/>
      <c r="L19" s="4"/>
      <c r="M19" s="4"/>
      <c r="N19" s="5"/>
      <c r="O19" s="3"/>
      <c r="P19" s="4"/>
      <c r="Q19" s="4"/>
      <c r="R19" s="5"/>
      <c r="S19" s="18">
        <f>F19*7*$G$7/D19</f>
        <v>5.4375091029728284E-5</v>
      </c>
      <c r="T19" s="17">
        <f t="shared" si="0"/>
        <v>5.4375091029728283E-2</v>
      </c>
    </row>
    <row r="20" spans="1:20" ht="17" thickBot="1" x14ac:dyDescent="0.25">
      <c r="A20" s="18" t="s">
        <v>43</v>
      </c>
      <c r="B20" s="18"/>
      <c r="C20" s="27"/>
      <c r="D20" s="28"/>
      <c r="E20" s="28"/>
      <c r="F20" s="29"/>
      <c r="G20" s="27"/>
      <c r="H20" s="28"/>
      <c r="I20" s="28"/>
      <c r="J20" s="29"/>
      <c r="K20" s="27"/>
      <c r="L20" s="28"/>
      <c r="M20" s="28"/>
      <c r="N20" s="29"/>
      <c r="O20" s="27" t="s">
        <v>42</v>
      </c>
      <c r="P20" s="28">
        <v>62</v>
      </c>
      <c r="Q20" s="28" t="s">
        <v>40</v>
      </c>
      <c r="R20" s="29">
        <v>5.0000000000000001E-3</v>
      </c>
      <c r="S20" s="18">
        <f>R20*$G$6/P20</f>
        <v>8.8709677419354844E-4</v>
      </c>
      <c r="T20" s="17">
        <f t="shared" si="0"/>
        <v>0.88709677419354849</v>
      </c>
    </row>
    <row r="21" spans="1:20" x14ac:dyDescent="0.2">
      <c r="B21" s="6" t="s">
        <v>48</v>
      </c>
      <c r="C21" s="6">
        <f>F12*$C$5/D12+2*F13*$C$5/D13+6*F19*$C$5/D19</f>
        <v>0.19378629586783466</v>
      </c>
      <c r="D21" s="6" t="s">
        <v>49</v>
      </c>
      <c r="G21" s="6">
        <f>J12*$C$6/H12+J14*$C$6/H14+J15*$C$6/H15+J16*$C$6/H16+J17*$C$6/H17+J18*$C$6/H18</f>
        <v>9.2978806572771105E-2</v>
      </c>
      <c r="H21" s="6" t="s">
        <v>50</v>
      </c>
      <c r="K21" s="6">
        <f>N12*$C$7/L12</f>
        <v>4.5554739162380606E-2</v>
      </c>
      <c r="L21" s="6" t="s">
        <v>51</v>
      </c>
    </row>
    <row r="22" spans="1:20" x14ac:dyDescent="0.2">
      <c r="B22" s="6" t="s">
        <v>45</v>
      </c>
      <c r="C22" s="17">
        <f>C21*1000</f>
        <v>193.78629586783467</v>
      </c>
      <c r="G22" s="17">
        <f>G21*1000</f>
        <v>92.978806572771106</v>
      </c>
      <c r="K22" s="17">
        <f>K21*1000</f>
        <v>45.554739162380606</v>
      </c>
    </row>
    <row r="24" spans="1:20" ht="17" thickBot="1" x14ac:dyDescent="0.25">
      <c r="A24" s="1" t="s">
        <v>56</v>
      </c>
      <c r="B24" s="46">
        <v>2</v>
      </c>
      <c r="C24" s="1" t="s">
        <v>55</v>
      </c>
    </row>
    <row r="25" spans="1:20" x14ac:dyDescent="0.2">
      <c r="B25" s="1"/>
      <c r="C25" s="7" t="s">
        <v>3</v>
      </c>
      <c r="D25" s="8"/>
      <c r="E25" s="8"/>
      <c r="F25" s="9"/>
      <c r="G25" s="7" t="s">
        <v>2</v>
      </c>
      <c r="H25" s="8"/>
      <c r="I25" s="8"/>
      <c r="J25" s="9"/>
      <c r="K25" s="7" t="s">
        <v>4</v>
      </c>
      <c r="L25" s="8"/>
      <c r="M25" s="8"/>
      <c r="N25" s="9"/>
      <c r="O25" s="7" t="s">
        <v>39</v>
      </c>
      <c r="P25" s="8"/>
      <c r="Q25" s="8"/>
      <c r="R25" s="9"/>
      <c r="S25" s="6" t="s">
        <v>44</v>
      </c>
      <c r="T25" s="6" t="s">
        <v>45</v>
      </c>
    </row>
    <row r="26" spans="1:20" ht="32" x14ac:dyDescent="0.2">
      <c r="A26" s="2" t="s">
        <v>1</v>
      </c>
      <c r="B26" s="10"/>
      <c r="C26" s="11"/>
      <c r="D26" s="12" t="s">
        <v>17</v>
      </c>
      <c r="E26" s="12" t="s">
        <v>16</v>
      </c>
      <c r="F26" s="13" t="s">
        <v>54</v>
      </c>
      <c r="G26" s="11"/>
      <c r="H26" s="12" t="s">
        <v>17</v>
      </c>
      <c r="I26" s="12" t="s">
        <v>16</v>
      </c>
      <c r="J26" s="13" t="s">
        <v>54</v>
      </c>
      <c r="K26" s="11"/>
      <c r="L26" s="12" t="s">
        <v>17</v>
      </c>
      <c r="M26" s="12" t="s">
        <v>16</v>
      </c>
      <c r="N26" s="13" t="s">
        <v>54</v>
      </c>
      <c r="O26" s="11" t="s">
        <v>41</v>
      </c>
      <c r="P26" s="12" t="s">
        <v>17</v>
      </c>
      <c r="Q26" s="12" t="s">
        <v>46</v>
      </c>
      <c r="R26" s="13" t="s">
        <v>73</v>
      </c>
      <c r="S26" s="10"/>
      <c r="T26" s="10"/>
    </row>
    <row r="27" spans="1:20" x14ac:dyDescent="0.2">
      <c r="A27" s="18" t="s">
        <v>19</v>
      </c>
      <c r="B27" s="18"/>
      <c r="C27" s="3" t="s">
        <v>7</v>
      </c>
      <c r="D27" s="4">
        <v>101.1</v>
      </c>
      <c r="E27" s="4" t="s">
        <v>20</v>
      </c>
      <c r="F27" s="24">
        <f>F12*$B$24</f>
        <v>1.6</v>
      </c>
      <c r="G27" s="3" t="s">
        <v>0</v>
      </c>
      <c r="H27" s="4">
        <v>174.3</v>
      </c>
      <c r="I27" s="4" t="s">
        <v>22</v>
      </c>
      <c r="J27" s="24">
        <f>J12*$B$24</f>
        <v>0</v>
      </c>
      <c r="K27" s="3" t="s">
        <v>9</v>
      </c>
      <c r="L27" s="19">
        <v>136.1</v>
      </c>
      <c r="M27" s="4" t="s">
        <v>27</v>
      </c>
      <c r="N27" s="24">
        <f>N12*$B$24</f>
        <v>0.4</v>
      </c>
      <c r="O27" s="16"/>
      <c r="P27" s="14"/>
      <c r="Q27" s="14"/>
      <c r="R27" s="15"/>
      <c r="S27" s="20">
        <f>(F27*$C$2/D27+2*J27*$C$2/H27+N27*$C$2/L27)/$B$24</f>
        <v>0.3659161421279955</v>
      </c>
      <c r="T27" s="17">
        <f>S27*1000</f>
        <v>365.9161421279955</v>
      </c>
    </row>
    <row r="28" spans="1:20" x14ac:dyDescent="0.2">
      <c r="A28" s="18" t="s">
        <v>5</v>
      </c>
      <c r="B28" s="18"/>
      <c r="C28" s="3" t="s">
        <v>65</v>
      </c>
      <c r="D28" s="4">
        <v>236.15</v>
      </c>
      <c r="E28" s="4" t="s">
        <v>21</v>
      </c>
      <c r="F28" s="24">
        <f>F13*$B$24</f>
        <v>1.4</v>
      </c>
      <c r="G28" s="21" t="s">
        <v>8</v>
      </c>
      <c r="H28" s="22">
        <v>136.1</v>
      </c>
      <c r="I28" s="22" t="s">
        <v>23</v>
      </c>
      <c r="J28" s="23">
        <f t="shared" ref="J28" si="1">J13*$B$24</f>
        <v>0</v>
      </c>
      <c r="K28" s="3" t="s">
        <v>10</v>
      </c>
      <c r="L28" s="4"/>
      <c r="M28" s="4"/>
      <c r="N28" s="5"/>
      <c r="O28" s="16"/>
      <c r="P28" s="14"/>
      <c r="Q28" s="14"/>
      <c r="R28" s="15"/>
      <c r="S28" s="10">
        <f>(F28*$C$3/D28)/$B$24</f>
        <v>0.118568706330722</v>
      </c>
      <c r="T28" s="17">
        <f t="shared" ref="T28:T35" si="2">S28*1000</f>
        <v>118.56870633072199</v>
      </c>
    </row>
    <row r="29" spans="1:20" x14ac:dyDescent="0.2">
      <c r="A29" s="18" t="s">
        <v>6</v>
      </c>
      <c r="B29" s="18"/>
      <c r="C29" s="3"/>
      <c r="D29" s="4"/>
      <c r="E29" s="4"/>
      <c r="F29" s="5"/>
      <c r="G29" s="3" t="s">
        <v>62</v>
      </c>
      <c r="H29" s="4">
        <v>246.4</v>
      </c>
      <c r="I29" s="4" t="s">
        <v>24</v>
      </c>
      <c r="J29" s="24">
        <f>J14*$B$24</f>
        <v>1.4</v>
      </c>
      <c r="K29" s="3" t="s">
        <v>11</v>
      </c>
      <c r="L29" s="4"/>
      <c r="M29" s="4"/>
      <c r="N29" s="5"/>
      <c r="O29" s="16"/>
      <c r="P29" s="14"/>
      <c r="Q29" s="14"/>
      <c r="R29" s="15"/>
      <c r="S29" s="10">
        <f>(J29*$C$4/H29)/$B$24</f>
        <v>6.8181818181818163E-2</v>
      </c>
      <c r="T29" s="17">
        <f t="shared" si="2"/>
        <v>68.181818181818159</v>
      </c>
    </row>
    <row r="30" spans="1:20" x14ac:dyDescent="0.2">
      <c r="A30" s="18" t="s">
        <v>13</v>
      </c>
      <c r="B30" s="18"/>
      <c r="C30" s="3"/>
      <c r="D30" s="4"/>
      <c r="E30" s="4"/>
      <c r="F30" s="5"/>
      <c r="G30" s="3" t="s">
        <v>72</v>
      </c>
      <c r="H30" s="4">
        <v>278.02</v>
      </c>
      <c r="I30" s="4" t="s">
        <v>18</v>
      </c>
      <c r="J30" s="24">
        <f t="shared" ref="J30:J33" si="3">J15*$B$24</f>
        <v>0.02</v>
      </c>
      <c r="K30" s="3"/>
      <c r="L30" s="4"/>
      <c r="M30" s="4"/>
      <c r="N30" s="5"/>
      <c r="O30" s="3"/>
      <c r="P30" s="4"/>
      <c r="Q30" s="4"/>
      <c r="R30" s="5"/>
      <c r="S30" s="18">
        <f>(J30*$G$2/H30)/$B$24</f>
        <v>2.0142435795985902E-3</v>
      </c>
      <c r="T30" s="17">
        <f t="shared" si="2"/>
        <v>2.01424357959859</v>
      </c>
    </row>
    <row r="31" spans="1:20" x14ac:dyDescent="0.2">
      <c r="A31" s="18" t="s">
        <v>14</v>
      </c>
      <c r="B31" s="18"/>
      <c r="C31" s="3"/>
      <c r="D31" s="4"/>
      <c r="E31" s="4"/>
      <c r="F31" s="5"/>
      <c r="G31" s="3" t="s">
        <v>63</v>
      </c>
      <c r="H31" s="4">
        <v>169.02</v>
      </c>
      <c r="I31" s="19" t="s">
        <v>25</v>
      </c>
      <c r="J31" s="24">
        <f t="shared" si="3"/>
        <v>6.0000000000000001E-3</v>
      </c>
      <c r="K31" s="3"/>
      <c r="L31" s="4"/>
      <c r="M31" s="4"/>
      <c r="N31" s="5"/>
      <c r="O31" s="3"/>
      <c r="P31" s="4"/>
      <c r="Q31" s="4"/>
      <c r="R31" s="5"/>
      <c r="S31" s="18">
        <f>(J31*$G$3/H31)/$B$24</f>
        <v>9.7621583244586441E-4</v>
      </c>
      <c r="T31" s="17">
        <f t="shared" si="2"/>
        <v>0.97621583244586441</v>
      </c>
    </row>
    <row r="32" spans="1:20" ht="18" x14ac:dyDescent="0.25">
      <c r="A32" s="18" t="s">
        <v>12</v>
      </c>
      <c r="B32" s="18"/>
      <c r="C32" s="3"/>
      <c r="D32" s="4"/>
      <c r="E32" s="4"/>
      <c r="F32" s="5"/>
      <c r="G32" s="26" t="s">
        <v>53</v>
      </c>
      <c r="H32" s="26">
        <v>249.685</v>
      </c>
      <c r="I32" s="19" t="s">
        <v>52</v>
      </c>
      <c r="J32" s="24">
        <f t="shared" si="3"/>
        <v>2E-3</v>
      </c>
      <c r="K32" s="3"/>
      <c r="L32" s="4"/>
      <c r="M32" s="4"/>
      <c r="N32" s="5"/>
      <c r="O32" s="3"/>
      <c r="P32" s="4"/>
      <c r="Q32" s="4"/>
      <c r="R32" s="5"/>
      <c r="S32" s="18">
        <f>(J32*$G$4/H32)/$B$24</f>
        <v>2.5632296693834229E-4</v>
      </c>
      <c r="T32" s="17">
        <f t="shared" si="2"/>
        <v>0.25632296693834228</v>
      </c>
    </row>
    <row r="33" spans="1:20" x14ac:dyDescent="0.2">
      <c r="A33" s="18" t="s">
        <v>15</v>
      </c>
      <c r="B33" s="18"/>
      <c r="C33" s="3"/>
      <c r="D33" s="4"/>
      <c r="E33" s="4"/>
      <c r="F33" s="5"/>
      <c r="G33" s="3" t="s">
        <v>64</v>
      </c>
      <c r="H33" s="19">
        <v>287.54000000000002</v>
      </c>
      <c r="I33" s="4" t="s">
        <v>26</v>
      </c>
      <c r="J33" s="24">
        <f t="shared" si="3"/>
        <v>4.0000000000000001E-3</v>
      </c>
      <c r="K33" s="3"/>
      <c r="L33" s="4"/>
      <c r="M33" s="4"/>
      <c r="N33" s="5"/>
      <c r="O33" s="3"/>
      <c r="P33" s="4"/>
      <c r="Q33" s="4"/>
      <c r="R33" s="5"/>
      <c r="S33" s="18">
        <f>(J33*$G$5/H33)/$B$24</f>
        <v>4.5211101064199764E-4</v>
      </c>
      <c r="T33" s="17">
        <f t="shared" si="2"/>
        <v>0.45211101064199766</v>
      </c>
    </row>
    <row r="34" spans="1:20" x14ac:dyDescent="0.2">
      <c r="A34" s="18" t="s">
        <v>67</v>
      </c>
      <c r="B34" s="18"/>
      <c r="C34" s="3" t="s">
        <v>66</v>
      </c>
      <c r="D34" s="6">
        <v>1235.8599999999999</v>
      </c>
      <c r="E34" s="4" t="s">
        <v>71</v>
      </c>
      <c r="F34" s="24">
        <f>F19*$B$24</f>
        <v>2.0000000000000001E-4</v>
      </c>
      <c r="G34" s="3"/>
      <c r="H34" s="4"/>
      <c r="I34" s="4"/>
      <c r="J34" s="5"/>
      <c r="K34" s="3"/>
      <c r="L34" s="4"/>
      <c r="M34" s="4"/>
      <c r="N34" s="5"/>
      <c r="O34" s="3"/>
      <c r="P34" s="4"/>
      <c r="Q34" s="4"/>
      <c r="R34" s="5"/>
      <c r="S34" s="18">
        <f>(F34*7*$G$7/D34)/$B$24</f>
        <v>5.4375091029728284E-5</v>
      </c>
      <c r="T34" s="17">
        <f t="shared" si="2"/>
        <v>5.4375091029728283E-2</v>
      </c>
    </row>
    <row r="35" spans="1:20" ht="17" thickBot="1" x14ac:dyDescent="0.25">
      <c r="A35" s="18" t="s">
        <v>43</v>
      </c>
      <c r="B35" s="18"/>
      <c r="C35" s="27"/>
      <c r="D35" s="28"/>
      <c r="E35" s="28"/>
      <c r="F35" s="29"/>
      <c r="G35" s="27"/>
      <c r="H35" s="28"/>
      <c r="I35" s="28"/>
      <c r="J35" s="29"/>
      <c r="K35" s="27"/>
      <c r="L35" s="28"/>
      <c r="M35" s="28"/>
      <c r="N35" s="29"/>
      <c r="O35" s="27" t="s">
        <v>42</v>
      </c>
      <c r="P35" s="28">
        <v>62</v>
      </c>
      <c r="Q35" s="28" t="s">
        <v>40</v>
      </c>
      <c r="R35" s="47">
        <f>R20*$B$24</f>
        <v>0.01</v>
      </c>
      <c r="S35" s="18">
        <f>(R35*$G$6/P35)/$B$24</f>
        <v>8.8709677419354844E-4</v>
      </c>
      <c r="T35" s="17">
        <f t="shared" si="2"/>
        <v>0.88709677419354849</v>
      </c>
    </row>
    <row r="36" spans="1:20" x14ac:dyDescent="0.2">
      <c r="B36" s="6" t="s">
        <v>48</v>
      </c>
      <c r="C36" s="6">
        <f>(F27*$C$5/D27+2*F28*$C$5/D28+6*F34*$C$5/D34)/$B$24</f>
        <v>0.19378629586783466</v>
      </c>
      <c r="D36" s="6" t="s">
        <v>49</v>
      </c>
      <c r="G36" s="6">
        <f>(J27*$C$6/H27+J29*$C$6/H29+J30*$C$6/H30+J31*$C$6/H31+J32*$C$6/H32+J33*$C$6/H33)/$B$24</f>
        <v>9.2978806572771105E-2</v>
      </c>
      <c r="H36" s="6" t="s">
        <v>50</v>
      </c>
      <c r="K36" s="6">
        <f>(N27*$C$7/L27)/$B$24</f>
        <v>4.5554739162380606E-2</v>
      </c>
      <c r="L36" s="6" t="s">
        <v>51</v>
      </c>
    </row>
    <row r="37" spans="1:20" x14ac:dyDescent="0.2">
      <c r="B37" s="6" t="s">
        <v>45</v>
      </c>
      <c r="C37" s="17">
        <f>C36*1000</f>
        <v>193.78629586783467</v>
      </c>
      <c r="G37" s="17">
        <f>G36*1000</f>
        <v>92.978806572771106</v>
      </c>
      <c r="K37" s="17">
        <f>K36*1000</f>
        <v>45.554739162380606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F4" zoomScale="142" zoomScaleNormal="142" zoomScalePageLayoutView="142" workbookViewId="0">
      <selection activeCell="R35" sqref="R35"/>
    </sheetView>
  </sheetViews>
  <sheetFormatPr baseColWidth="10" defaultRowHeight="16" x14ac:dyDescent="0.2"/>
  <cols>
    <col min="1" max="1" width="34.33203125" style="6" bestFit="1" customWidth="1"/>
    <col min="2" max="2" width="12.1640625" style="6" bestFit="1" customWidth="1"/>
    <col min="3" max="4" width="10.83203125" style="6"/>
    <col min="5" max="5" width="11.5" style="6" bestFit="1" customWidth="1"/>
    <col min="6" max="6" width="11.5" style="6" customWidth="1"/>
    <col min="7" max="7" width="12.5" style="6" customWidth="1"/>
    <col min="8" max="8" width="10.83203125" style="6" customWidth="1"/>
    <col min="9" max="9" width="18.33203125" style="6" customWidth="1"/>
    <col min="10" max="10" width="13.1640625" style="6" customWidth="1"/>
    <col min="11" max="17" width="10.83203125" style="6" customWidth="1"/>
    <col min="18" max="18" width="11.83203125" style="6" customWidth="1"/>
    <col min="19" max="19" width="11.83203125" style="6" bestFit="1" customWidth="1"/>
    <col min="20" max="16384" width="10.83203125" style="6"/>
  </cols>
  <sheetData>
    <row r="1" spans="1:20" x14ac:dyDescent="0.2">
      <c r="B1" s="6" t="s">
        <v>17</v>
      </c>
    </row>
    <row r="2" spans="1:20" x14ac:dyDescent="0.2">
      <c r="B2" s="6" t="s">
        <v>28</v>
      </c>
      <c r="C2" s="6">
        <v>39</v>
      </c>
      <c r="F2" s="6" t="s">
        <v>34</v>
      </c>
      <c r="G2" s="6">
        <v>56</v>
      </c>
      <c r="J2" s="6">
        <f>56*2+(32+16*4)*3+18</f>
        <v>418</v>
      </c>
    </row>
    <row r="3" spans="1:20" x14ac:dyDescent="0.2">
      <c r="B3" s="6" t="s">
        <v>29</v>
      </c>
      <c r="C3" s="6">
        <v>40</v>
      </c>
      <c r="F3" s="6" t="s">
        <v>35</v>
      </c>
      <c r="G3" s="6">
        <v>55</v>
      </c>
    </row>
    <row r="4" spans="1:20" x14ac:dyDescent="0.2">
      <c r="B4" s="6" t="s">
        <v>30</v>
      </c>
      <c r="C4" s="6">
        <v>24</v>
      </c>
      <c r="F4" s="6" t="s">
        <v>36</v>
      </c>
      <c r="G4" s="6">
        <v>64</v>
      </c>
    </row>
    <row r="5" spans="1:20" x14ac:dyDescent="0.2">
      <c r="B5" s="6" t="s">
        <v>32</v>
      </c>
      <c r="C5" s="6">
        <v>14</v>
      </c>
      <c r="F5" s="6" t="s">
        <v>37</v>
      </c>
      <c r="G5" s="6">
        <v>65</v>
      </c>
    </row>
    <row r="6" spans="1:20" x14ac:dyDescent="0.2">
      <c r="B6" s="6" t="s">
        <v>31</v>
      </c>
      <c r="C6" s="6">
        <v>32</v>
      </c>
      <c r="F6" s="6" t="s">
        <v>38</v>
      </c>
      <c r="G6" s="6">
        <v>11</v>
      </c>
    </row>
    <row r="7" spans="1:20" x14ac:dyDescent="0.2">
      <c r="B7" s="6" t="s">
        <v>33</v>
      </c>
      <c r="C7" s="6">
        <v>31</v>
      </c>
      <c r="F7" s="6" t="s">
        <v>68</v>
      </c>
      <c r="G7" s="6">
        <v>96</v>
      </c>
    </row>
    <row r="9" spans="1:20" ht="17" thickBot="1" x14ac:dyDescent="0.25">
      <c r="A9" s="1" t="s">
        <v>56</v>
      </c>
      <c r="B9" s="18">
        <v>1</v>
      </c>
      <c r="C9" s="1" t="s">
        <v>55</v>
      </c>
    </row>
    <row r="10" spans="1:20" x14ac:dyDescent="0.2">
      <c r="B10" s="1" t="s">
        <v>47</v>
      </c>
      <c r="C10" s="7" t="s">
        <v>70</v>
      </c>
      <c r="D10" s="8"/>
      <c r="E10" s="8"/>
      <c r="F10" s="9"/>
      <c r="G10" s="7" t="s">
        <v>2</v>
      </c>
      <c r="H10" s="8"/>
      <c r="I10" s="8"/>
      <c r="J10" s="9"/>
      <c r="K10" s="7" t="s">
        <v>4</v>
      </c>
      <c r="L10" s="8"/>
      <c r="M10" s="8"/>
      <c r="N10" s="9"/>
      <c r="O10" s="7" t="s">
        <v>39</v>
      </c>
      <c r="P10" s="8"/>
      <c r="Q10" s="8"/>
      <c r="R10" s="9"/>
      <c r="S10" s="6" t="s">
        <v>44</v>
      </c>
      <c r="T10" s="6" t="s">
        <v>45</v>
      </c>
    </row>
    <row r="11" spans="1:20" s="10" customFormat="1" ht="32" x14ac:dyDescent="0.2">
      <c r="A11" s="2" t="s">
        <v>1</v>
      </c>
      <c r="C11" s="11"/>
      <c r="D11" s="12" t="s">
        <v>17</v>
      </c>
      <c r="E11" s="12" t="s">
        <v>16</v>
      </c>
      <c r="F11" s="13" t="s">
        <v>54</v>
      </c>
      <c r="G11" s="11"/>
      <c r="H11" s="12" t="s">
        <v>17</v>
      </c>
      <c r="I11" s="12" t="s">
        <v>16</v>
      </c>
      <c r="J11" s="13" t="s">
        <v>54</v>
      </c>
      <c r="K11" s="11"/>
      <c r="L11" s="12" t="s">
        <v>17</v>
      </c>
      <c r="M11" s="12" t="s">
        <v>16</v>
      </c>
      <c r="N11" s="13" t="s">
        <v>54</v>
      </c>
      <c r="O11" s="11" t="s">
        <v>41</v>
      </c>
      <c r="P11" s="12" t="s">
        <v>17</v>
      </c>
      <c r="Q11" s="12" t="s">
        <v>46</v>
      </c>
      <c r="R11" s="13" t="s">
        <v>54</v>
      </c>
    </row>
    <row r="12" spans="1:20" x14ac:dyDescent="0.2">
      <c r="A12" s="18" t="s">
        <v>19</v>
      </c>
      <c r="B12" s="18"/>
      <c r="C12" s="3" t="s">
        <v>7</v>
      </c>
      <c r="D12" s="4">
        <v>101.1</v>
      </c>
      <c r="E12" s="4" t="s">
        <v>20</v>
      </c>
      <c r="F12" s="5">
        <v>0</v>
      </c>
      <c r="G12" s="3" t="s">
        <v>0</v>
      </c>
      <c r="H12" s="4">
        <v>174.3</v>
      </c>
      <c r="I12" s="4" t="s">
        <v>22</v>
      </c>
      <c r="J12" s="5">
        <v>0.3</v>
      </c>
      <c r="K12" s="3" t="s">
        <v>9</v>
      </c>
      <c r="L12" s="19">
        <v>136.1</v>
      </c>
      <c r="M12" s="4" t="s">
        <v>27</v>
      </c>
      <c r="N12" s="5">
        <v>0.3</v>
      </c>
      <c r="O12" s="16"/>
      <c r="P12" s="14"/>
      <c r="Q12" s="14"/>
      <c r="R12" s="15"/>
      <c r="S12" s="10">
        <f>F12*$C$2/D12+2*J12*$C$2/H12+N12*$C$2/L12</f>
        <v>0.22021749220035383</v>
      </c>
      <c r="T12" s="17">
        <f>S12*1000</f>
        <v>220.21749220035383</v>
      </c>
    </row>
    <row r="13" spans="1:20" x14ac:dyDescent="0.2">
      <c r="A13" s="18" t="s">
        <v>5</v>
      </c>
      <c r="B13" s="18"/>
      <c r="C13" s="3" t="s">
        <v>65</v>
      </c>
      <c r="D13" s="4">
        <v>236.15</v>
      </c>
      <c r="E13" s="4" t="s">
        <v>21</v>
      </c>
      <c r="F13" s="5">
        <v>0.7</v>
      </c>
      <c r="G13" s="21" t="s">
        <v>8</v>
      </c>
      <c r="H13" s="22">
        <v>136.1</v>
      </c>
      <c r="I13" s="22" t="s">
        <v>23</v>
      </c>
      <c r="J13" s="23">
        <v>0</v>
      </c>
      <c r="K13" s="3"/>
      <c r="L13" s="4"/>
      <c r="M13" s="4"/>
      <c r="N13" s="5"/>
      <c r="O13" s="16"/>
      <c r="P13" s="14"/>
      <c r="Q13" s="14"/>
      <c r="R13" s="15"/>
      <c r="S13" s="10">
        <f>F13*$C$3/D13</f>
        <v>0.118568706330722</v>
      </c>
      <c r="T13" s="17">
        <f t="shared" ref="T13:T20" si="0">S13*1000</f>
        <v>118.56870633072199</v>
      </c>
    </row>
    <row r="14" spans="1:20" x14ac:dyDescent="0.2">
      <c r="A14" s="18" t="s">
        <v>6</v>
      </c>
      <c r="B14" s="18"/>
      <c r="C14" s="3"/>
      <c r="D14" s="4"/>
      <c r="E14" s="4"/>
      <c r="F14" s="5"/>
      <c r="G14" s="3" t="s">
        <v>62</v>
      </c>
      <c r="H14" s="4">
        <v>246.4</v>
      </c>
      <c r="I14" s="4" t="s">
        <v>24</v>
      </c>
      <c r="J14" s="5">
        <v>0.5</v>
      </c>
      <c r="K14" s="3"/>
      <c r="L14" s="4"/>
      <c r="M14" s="4"/>
      <c r="N14" s="5"/>
      <c r="O14" s="16"/>
      <c r="P14" s="14"/>
      <c r="Q14" s="14"/>
      <c r="R14" s="15"/>
      <c r="S14" s="10">
        <f>J14*$C$4/H14</f>
        <v>4.8701298701298704E-2</v>
      </c>
      <c r="T14" s="17">
        <f t="shared" si="0"/>
        <v>48.701298701298704</v>
      </c>
    </row>
    <row r="15" spans="1:20" x14ac:dyDescent="0.2">
      <c r="A15" s="18" t="s">
        <v>13</v>
      </c>
      <c r="B15" s="18"/>
      <c r="C15" s="3"/>
      <c r="D15" s="4"/>
      <c r="E15" s="4"/>
      <c r="F15" s="5"/>
      <c r="G15" s="3" t="s">
        <v>72</v>
      </c>
      <c r="H15" s="4">
        <v>278.02</v>
      </c>
      <c r="I15" s="4" t="s">
        <v>18</v>
      </c>
      <c r="J15" s="5">
        <v>0.01</v>
      </c>
      <c r="K15" s="3"/>
      <c r="L15" s="4"/>
      <c r="M15" s="4"/>
      <c r="N15" s="5"/>
      <c r="O15" s="3"/>
      <c r="P15" s="4"/>
      <c r="Q15" s="4"/>
      <c r="R15" s="5"/>
      <c r="S15" s="18">
        <f>J15*$G$2/H15</f>
        <v>2.0142435795985902E-3</v>
      </c>
      <c r="T15" s="17">
        <f t="shared" si="0"/>
        <v>2.01424357959859</v>
      </c>
    </row>
    <row r="16" spans="1:20" x14ac:dyDescent="0.2">
      <c r="A16" s="18" t="s">
        <v>14</v>
      </c>
      <c r="B16" s="18"/>
      <c r="C16" s="3"/>
      <c r="D16" s="4"/>
      <c r="E16" s="4"/>
      <c r="F16" s="5"/>
      <c r="G16" s="3" t="s">
        <v>63</v>
      </c>
      <c r="H16" s="4">
        <v>169.02</v>
      </c>
      <c r="I16" s="19" t="s">
        <v>25</v>
      </c>
      <c r="J16" s="25">
        <v>3.0000000000000001E-3</v>
      </c>
      <c r="K16" s="3"/>
      <c r="L16" s="4"/>
      <c r="M16" s="4"/>
      <c r="N16" s="5"/>
      <c r="O16" s="3"/>
      <c r="P16" s="4"/>
      <c r="Q16" s="4"/>
      <c r="R16" s="5"/>
      <c r="S16" s="18">
        <f>J16*$G$3/H16</f>
        <v>9.7621583244586441E-4</v>
      </c>
      <c r="T16" s="17">
        <f t="shared" si="0"/>
        <v>0.97621583244586441</v>
      </c>
    </row>
    <row r="17" spans="1:20" ht="18" x14ac:dyDescent="0.25">
      <c r="A17" s="18" t="s">
        <v>12</v>
      </c>
      <c r="B17" s="18"/>
      <c r="C17" s="3"/>
      <c r="D17" s="4"/>
      <c r="E17" s="4"/>
      <c r="F17" s="5"/>
      <c r="G17" s="26" t="s">
        <v>53</v>
      </c>
      <c r="H17" s="26">
        <v>249.685</v>
      </c>
      <c r="I17" s="19" t="s">
        <v>52</v>
      </c>
      <c r="J17" s="25">
        <v>1E-3</v>
      </c>
      <c r="K17" s="3"/>
      <c r="L17" s="4"/>
      <c r="M17" s="4"/>
      <c r="N17" s="5"/>
      <c r="O17" s="3"/>
      <c r="P17" s="4"/>
      <c r="Q17" s="4"/>
      <c r="R17" s="5"/>
      <c r="S17" s="18">
        <f>J17*$G$4/H17</f>
        <v>2.5632296693834229E-4</v>
      </c>
      <c r="T17" s="17">
        <f t="shared" si="0"/>
        <v>0.25632296693834228</v>
      </c>
    </row>
    <row r="18" spans="1:20" x14ac:dyDescent="0.2">
      <c r="A18" s="18" t="s">
        <v>15</v>
      </c>
      <c r="B18" s="18"/>
      <c r="C18" s="3"/>
      <c r="D18" s="4"/>
      <c r="E18" s="4"/>
      <c r="F18" s="5"/>
      <c r="G18" s="3" t="s">
        <v>64</v>
      </c>
      <c r="H18" s="19">
        <v>287.54000000000002</v>
      </c>
      <c r="I18" s="4" t="s">
        <v>26</v>
      </c>
      <c r="J18" s="5">
        <v>2E-3</v>
      </c>
      <c r="K18" s="3"/>
      <c r="L18" s="4"/>
      <c r="M18" s="4"/>
      <c r="N18" s="5"/>
      <c r="O18" s="3"/>
      <c r="P18" s="4"/>
      <c r="Q18" s="4"/>
      <c r="R18" s="5"/>
      <c r="S18" s="18">
        <f>J18*$G$5/H18</f>
        <v>4.5211101064199764E-4</v>
      </c>
      <c r="T18" s="17">
        <f t="shared" si="0"/>
        <v>0.45211101064199766</v>
      </c>
    </row>
    <row r="19" spans="1:20" x14ac:dyDescent="0.2">
      <c r="A19" s="18" t="s">
        <v>69</v>
      </c>
      <c r="B19" s="18"/>
      <c r="C19" s="3" t="s">
        <v>66</v>
      </c>
      <c r="D19" s="6">
        <v>1235.8599999999999</v>
      </c>
      <c r="E19" s="4" t="s">
        <v>71</v>
      </c>
      <c r="F19" s="5">
        <v>1E-4</v>
      </c>
      <c r="G19" s="3"/>
      <c r="H19" s="4"/>
      <c r="I19" s="4"/>
      <c r="J19" s="5"/>
      <c r="K19" s="3"/>
      <c r="L19" s="4"/>
      <c r="M19" s="4"/>
      <c r="N19" s="5"/>
      <c r="O19" s="3"/>
      <c r="P19" s="4"/>
      <c r="Q19" s="4"/>
      <c r="R19" s="5"/>
      <c r="S19" s="18">
        <f>F19*7*$G$7/D19</f>
        <v>5.4375091029728284E-5</v>
      </c>
      <c r="T19" s="17">
        <f t="shared" si="0"/>
        <v>5.4375091029728283E-2</v>
      </c>
    </row>
    <row r="20" spans="1:20" ht="17" thickBot="1" x14ac:dyDescent="0.25">
      <c r="A20" s="18" t="s">
        <v>43</v>
      </c>
      <c r="B20" s="18"/>
      <c r="C20" s="27"/>
      <c r="D20" s="28"/>
      <c r="E20" s="28"/>
      <c r="F20" s="29"/>
      <c r="G20" s="27"/>
      <c r="H20" s="28"/>
      <c r="I20" s="28"/>
      <c r="J20" s="29"/>
      <c r="K20" s="27"/>
      <c r="L20" s="28"/>
      <c r="M20" s="28"/>
      <c r="N20" s="29"/>
      <c r="O20" s="27" t="s">
        <v>42</v>
      </c>
      <c r="P20" s="28">
        <v>62</v>
      </c>
      <c r="Q20" s="28" t="s">
        <v>40</v>
      </c>
      <c r="R20" s="29">
        <v>5.0000000000000001E-3</v>
      </c>
      <c r="S20" s="18">
        <f>R20*$G$6/P20</f>
        <v>8.8709677419354844E-4</v>
      </c>
      <c r="T20" s="17">
        <f t="shared" si="0"/>
        <v>0.88709677419354849</v>
      </c>
    </row>
    <row r="21" spans="1:20" x14ac:dyDescent="0.2">
      <c r="B21" s="6" t="s">
        <v>48</v>
      </c>
      <c r="C21" s="6">
        <f>F12*$C$5/D12+2*F13*$C$5/D13+6*F19*$C$5/D19</f>
        <v>8.3004891317884091E-2</v>
      </c>
      <c r="D21" s="6" t="s">
        <v>49</v>
      </c>
      <c r="G21" s="6">
        <f>J12*$C$6/H12+J14*$C$6/H14+J15*$C$6/H15+J16*$C$6/H16+J17*$C$6/H17+J18*$C$6/H18</f>
        <v>0.12208223326655925</v>
      </c>
      <c r="H21" s="6" t="s">
        <v>50</v>
      </c>
      <c r="K21" s="6">
        <f>N12*$C$7/L12</f>
        <v>6.8332108743570902E-2</v>
      </c>
      <c r="L21" s="6" t="s">
        <v>51</v>
      </c>
    </row>
    <row r="22" spans="1:20" x14ac:dyDescent="0.2">
      <c r="B22" s="6" t="s">
        <v>45</v>
      </c>
      <c r="C22" s="17">
        <f>C21*1000</f>
        <v>83.004891317884088</v>
      </c>
      <c r="G22" s="17">
        <f>G21*1000</f>
        <v>122.08223326655924</v>
      </c>
      <c r="K22" s="17">
        <f>K21*1000</f>
        <v>68.332108743570899</v>
      </c>
    </row>
    <row r="24" spans="1:20" ht="17" thickBot="1" x14ac:dyDescent="0.25">
      <c r="A24" s="1" t="s">
        <v>56</v>
      </c>
      <c r="B24" s="46">
        <v>2</v>
      </c>
      <c r="C24" s="1" t="s">
        <v>55</v>
      </c>
    </row>
    <row r="25" spans="1:20" x14ac:dyDescent="0.2">
      <c r="B25" s="1"/>
      <c r="C25" s="7" t="s">
        <v>3</v>
      </c>
      <c r="D25" s="8"/>
      <c r="E25" s="8"/>
      <c r="F25" s="9"/>
      <c r="G25" s="7" t="s">
        <v>2</v>
      </c>
      <c r="H25" s="8"/>
      <c r="I25" s="8"/>
      <c r="J25" s="9"/>
      <c r="K25" s="7" t="s">
        <v>4</v>
      </c>
      <c r="L25" s="8"/>
      <c r="M25" s="8"/>
      <c r="N25" s="9"/>
      <c r="O25" s="7" t="s">
        <v>39</v>
      </c>
      <c r="P25" s="8"/>
      <c r="Q25" s="8"/>
      <c r="R25" s="9"/>
      <c r="S25" s="6" t="s">
        <v>44</v>
      </c>
      <c r="T25" s="6" t="s">
        <v>45</v>
      </c>
    </row>
    <row r="26" spans="1:20" ht="32" x14ac:dyDescent="0.2">
      <c r="A26" s="2" t="s">
        <v>1</v>
      </c>
      <c r="B26" s="10"/>
      <c r="C26" s="11"/>
      <c r="D26" s="12" t="s">
        <v>17</v>
      </c>
      <c r="E26" s="12" t="s">
        <v>16</v>
      </c>
      <c r="F26" s="13" t="s">
        <v>73</v>
      </c>
      <c r="G26" s="11"/>
      <c r="H26" s="12" t="s">
        <v>17</v>
      </c>
      <c r="I26" s="12" t="s">
        <v>16</v>
      </c>
      <c r="J26" s="13" t="s">
        <v>73</v>
      </c>
      <c r="K26" s="11"/>
      <c r="L26" s="12" t="s">
        <v>17</v>
      </c>
      <c r="M26" s="12" t="s">
        <v>16</v>
      </c>
      <c r="N26" s="13" t="s">
        <v>73</v>
      </c>
      <c r="O26" s="11" t="s">
        <v>41</v>
      </c>
      <c r="P26" s="12" t="s">
        <v>17</v>
      </c>
      <c r="Q26" s="12" t="s">
        <v>46</v>
      </c>
      <c r="R26" s="13" t="s">
        <v>73</v>
      </c>
      <c r="S26" s="10"/>
      <c r="T26" s="10"/>
    </row>
    <row r="27" spans="1:20" x14ac:dyDescent="0.2">
      <c r="A27" s="18" t="s">
        <v>19</v>
      </c>
      <c r="B27" s="18"/>
      <c r="C27" s="3" t="s">
        <v>7</v>
      </c>
      <c r="D27" s="4">
        <v>101.1</v>
      </c>
      <c r="E27" s="4" t="s">
        <v>20</v>
      </c>
      <c r="F27" s="24">
        <f>F12*$B$24</f>
        <v>0</v>
      </c>
      <c r="G27" s="3" t="s">
        <v>0</v>
      </c>
      <c r="H27" s="4">
        <v>174.3</v>
      </c>
      <c r="I27" s="4" t="s">
        <v>22</v>
      </c>
      <c r="J27" s="24">
        <f>J12*$B$24</f>
        <v>0.6</v>
      </c>
      <c r="K27" s="3" t="s">
        <v>9</v>
      </c>
      <c r="L27" s="19">
        <v>136.1</v>
      </c>
      <c r="M27" s="4" t="s">
        <v>27</v>
      </c>
      <c r="N27" s="24">
        <f>N12*$B$24</f>
        <v>0.6</v>
      </c>
      <c r="O27" s="16"/>
      <c r="P27" s="14"/>
      <c r="Q27" s="14"/>
      <c r="R27" s="15"/>
      <c r="S27" s="20">
        <f>(F27*$C$2/D27+2*J27*$C$2/H27+N27*$C$2/L27)/$B$24</f>
        <v>0.22021749220035383</v>
      </c>
      <c r="T27" s="17">
        <f>S27*1000</f>
        <v>220.21749220035383</v>
      </c>
    </row>
    <row r="28" spans="1:20" x14ac:dyDescent="0.2">
      <c r="A28" s="18" t="s">
        <v>5</v>
      </c>
      <c r="B28" s="18"/>
      <c r="C28" s="3" t="s">
        <v>65</v>
      </c>
      <c r="D28" s="4">
        <v>236.15</v>
      </c>
      <c r="E28" s="4" t="s">
        <v>21</v>
      </c>
      <c r="F28" s="24">
        <f>F13*$B$24</f>
        <v>1.4</v>
      </c>
      <c r="G28" s="21" t="s">
        <v>8</v>
      </c>
      <c r="H28" s="22">
        <v>136.1</v>
      </c>
      <c r="I28" s="22" t="s">
        <v>23</v>
      </c>
      <c r="J28" s="23">
        <f t="shared" ref="J28" si="1">J13*$B$24</f>
        <v>0</v>
      </c>
      <c r="K28" s="3" t="s">
        <v>10</v>
      </c>
      <c r="L28" s="4"/>
      <c r="M28" s="4"/>
      <c r="N28" s="5"/>
      <c r="O28" s="16"/>
      <c r="P28" s="14"/>
      <c r="Q28" s="14"/>
      <c r="R28" s="15"/>
      <c r="S28" s="10">
        <f>(F28*$C$3/D28)/$B$24</f>
        <v>0.118568706330722</v>
      </c>
      <c r="T28" s="17">
        <f t="shared" ref="T28:T35" si="2">S28*1000</f>
        <v>118.56870633072199</v>
      </c>
    </row>
    <row r="29" spans="1:20" x14ac:dyDescent="0.2">
      <c r="A29" s="18" t="s">
        <v>6</v>
      </c>
      <c r="B29" s="18"/>
      <c r="C29" s="3"/>
      <c r="D29" s="4"/>
      <c r="E29" s="4"/>
      <c r="F29" s="5"/>
      <c r="G29" s="3" t="s">
        <v>62</v>
      </c>
      <c r="H29" s="4">
        <v>246.4</v>
      </c>
      <c r="I29" s="4" t="s">
        <v>24</v>
      </c>
      <c r="J29" s="24">
        <f>J14*$B$24</f>
        <v>1</v>
      </c>
      <c r="K29" s="3" t="s">
        <v>11</v>
      </c>
      <c r="L29" s="4"/>
      <c r="M29" s="4"/>
      <c r="N29" s="5"/>
      <c r="O29" s="16"/>
      <c r="P29" s="14"/>
      <c r="Q29" s="14"/>
      <c r="R29" s="15"/>
      <c r="S29" s="10">
        <f>(J29*$C$4/H29)/$B$24</f>
        <v>4.8701298701298704E-2</v>
      </c>
      <c r="T29" s="17">
        <f t="shared" si="2"/>
        <v>48.701298701298704</v>
      </c>
    </row>
    <row r="30" spans="1:20" x14ac:dyDescent="0.2">
      <c r="A30" s="18" t="s">
        <v>13</v>
      </c>
      <c r="B30" s="18"/>
      <c r="C30" s="3"/>
      <c r="D30" s="4"/>
      <c r="E30" s="4"/>
      <c r="F30" s="5"/>
      <c r="G30" s="3" t="s">
        <v>72</v>
      </c>
      <c r="H30" s="4">
        <v>278.02</v>
      </c>
      <c r="I30" s="4" t="s">
        <v>18</v>
      </c>
      <c r="J30" s="24">
        <f t="shared" ref="J30:J33" si="3">J15*$B$24</f>
        <v>0.02</v>
      </c>
      <c r="K30" s="3"/>
      <c r="L30" s="4"/>
      <c r="M30" s="4"/>
      <c r="N30" s="5"/>
      <c r="O30" s="3"/>
      <c r="P30" s="4"/>
      <c r="Q30" s="4"/>
      <c r="R30" s="5"/>
      <c r="S30" s="18">
        <f>(J30*$G$2/H30)/$B$24</f>
        <v>2.0142435795985902E-3</v>
      </c>
      <c r="T30" s="17">
        <f t="shared" si="2"/>
        <v>2.01424357959859</v>
      </c>
    </row>
    <row r="31" spans="1:20" x14ac:dyDescent="0.2">
      <c r="A31" s="18" t="s">
        <v>14</v>
      </c>
      <c r="B31" s="18"/>
      <c r="C31" s="3"/>
      <c r="D31" s="4"/>
      <c r="E31" s="4"/>
      <c r="F31" s="5"/>
      <c r="G31" s="3" t="s">
        <v>63</v>
      </c>
      <c r="H31" s="4">
        <v>169.02</v>
      </c>
      <c r="I31" s="19" t="s">
        <v>25</v>
      </c>
      <c r="J31" s="24">
        <f t="shared" si="3"/>
        <v>6.0000000000000001E-3</v>
      </c>
      <c r="K31" s="3"/>
      <c r="L31" s="4"/>
      <c r="M31" s="4"/>
      <c r="N31" s="5"/>
      <c r="O31" s="3"/>
      <c r="P31" s="4"/>
      <c r="Q31" s="4"/>
      <c r="R31" s="5"/>
      <c r="S31" s="18">
        <f>(J31*$G$3/H31)/$B$24</f>
        <v>9.7621583244586441E-4</v>
      </c>
      <c r="T31" s="17">
        <f t="shared" si="2"/>
        <v>0.97621583244586441</v>
      </c>
    </row>
    <row r="32" spans="1:20" ht="18" x14ac:dyDescent="0.25">
      <c r="A32" s="18" t="s">
        <v>12</v>
      </c>
      <c r="B32" s="18"/>
      <c r="C32" s="3"/>
      <c r="D32" s="4"/>
      <c r="E32" s="4"/>
      <c r="F32" s="5"/>
      <c r="G32" s="26" t="s">
        <v>53</v>
      </c>
      <c r="H32" s="26">
        <v>249.685</v>
      </c>
      <c r="I32" s="19" t="s">
        <v>52</v>
      </c>
      <c r="J32" s="24">
        <f t="shared" si="3"/>
        <v>2E-3</v>
      </c>
      <c r="K32" s="3"/>
      <c r="L32" s="4"/>
      <c r="M32" s="4"/>
      <c r="N32" s="5"/>
      <c r="O32" s="3"/>
      <c r="P32" s="4"/>
      <c r="Q32" s="4"/>
      <c r="R32" s="5"/>
      <c r="S32" s="18">
        <f>(J32*$G$4/H32)/$B$24</f>
        <v>2.5632296693834229E-4</v>
      </c>
      <c r="T32" s="17">
        <f t="shared" si="2"/>
        <v>0.25632296693834228</v>
      </c>
    </row>
    <row r="33" spans="1:20" x14ac:dyDescent="0.2">
      <c r="A33" s="18" t="s">
        <v>15</v>
      </c>
      <c r="B33" s="18"/>
      <c r="C33" s="3"/>
      <c r="D33" s="4"/>
      <c r="E33" s="4"/>
      <c r="F33" s="5"/>
      <c r="G33" s="3" t="s">
        <v>64</v>
      </c>
      <c r="H33" s="19">
        <v>287.54000000000002</v>
      </c>
      <c r="I33" s="4" t="s">
        <v>26</v>
      </c>
      <c r="J33" s="24">
        <f t="shared" si="3"/>
        <v>4.0000000000000001E-3</v>
      </c>
      <c r="K33" s="3"/>
      <c r="L33" s="4"/>
      <c r="M33" s="4"/>
      <c r="N33" s="5"/>
      <c r="O33" s="3"/>
      <c r="P33" s="4"/>
      <c r="Q33" s="4"/>
      <c r="R33" s="5"/>
      <c r="S33" s="18">
        <f>(J33*$G$5/H33)/$B$24</f>
        <v>4.5211101064199764E-4</v>
      </c>
      <c r="T33" s="17">
        <f t="shared" si="2"/>
        <v>0.45211101064199766</v>
      </c>
    </row>
    <row r="34" spans="1:20" x14ac:dyDescent="0.2">
      <c r="A34" s="18" t="s">
        <v>67</v>
      </c>
      <c r="B34" s="18"/>
      <c r="C34" s="3" t="s">
        <v>66</v>
      </c>
      <c r="D34" s="6">
        <v>1235.8599999999999</v>
      </c>
      <c r="E34" s="4" t="s">
        <v>71</v>
      </c>
      <c r="F34" s="24">
        <f>F19*$B$24</f>
        <v>2.0000000000000001E-4</v>
      </c>
      <c r="G34" s="3"/>
      <c r="H34" s="4"/>
      <c r="I34" s="4"/>
      <c r="J34" s="5"/>
      <c r="K34" s="3"/>
      <c r="L34" s="4"/>
      <c r="M34" s="4"/>
      <c r="N34" s="5"/>
      <c r="O34" s="3"/>
      <c r="P34" s="4"/>
      <c r="Q34" s="4"/>
      <c r="R34" s="5"/>
      <c r="S34" s="18">
        <f>(F34*7*$G$7/D34)/$B$24</f>
        <v>5.4375091029728284E-5</v>
      </c>
      <c r="T34" s="17">
        <f t="shared" si="2"/>
        <v>5.4375091029728283E-2</v>
      </c>
    </row>
    <row r="35" spans="1:20" ht="17" thickBot="1" x14ac:dyDescent="0.25">
      <c r="A35" s="18" t="s">
        <v>43</v>
      </c>
      <c r="B35" s="18"/>
      <c r="C35" s="27"/>
      <c r="D35" s="28"/>
      <c r="E35" s="28"/>
      <c r="F35" s="29"/>
      <c r="G35" s="27"/>
      <c r="H35" s="28"/>
      <c r="I35" s="28"/>
      <c r="J35" s="29"/>
      <c r="K35" s="27"/>
      <c r="L35" s="28"/>
      <c r="M35" s="28"/>
      <c r="N35" s="29"/>
      <c r="O35" s="27" t="s">
        <v>42</v>
      </c>
      <c r="P35" s="28">
        <v>62</v>
      </c>
      <c r="Q35" s="28" t="s">
        <v>40</v>
      </c>
      <c r="R35" s="47">
        <f>R20*$B$24</f>
        <v>0.01</v>
      </c>
      <c r="S35" s="18">
        <f>(R35*$G$6/P35)/$B$24</f>
        <v>8.8709677419354844E-4</v>
      </c>
      <c r="T35" s="17">
        <f t="shared" si="2"/>
        <v>0.88709677419354849</v>
      </c>
    </row>
    <row r="36" spans="1:20" x14ac:dyDescent="0.2">
      <c r="B36" s="6" t="s">
        <v>48</v>
      </c>
      <c r="C36" s="6">
        <f>(F27*$C$5/D27+2*F28*$C$5/D28+6*F34*$C$5/D34)/$B$24</f>
        <v>8.3004891317884091E-2</v>
      </c>
      <c r="D36" s="6" t="s">
        <v>49</v>
      </c>
      <c r="G36" s="6">
        <f>(J27*$C$6/H27+J29*$C$6/H29+J30*$C$6/H30+J31*$C$6/H31+J32*$C$6/H32+J33*$C$6/H33)/$B$24</f>
        <v>0.12208223326655925</v>
      </c>
      <c r="H36" s="6" t="s">
        <v>50</v>
      </c>
      <c r="K36" s="6">
        <f>(N27*$C$7/L27)/$B$24</f>
        <v>6.8332108743570902E-2</v>
      </c>
      <c r="L36" s="6" t="s">
        <v>51</v>
      </c>
    </row>
    <row r="37" spans="1:20" x14ac:dyDescent="0.2">
      <c r="B37" s="6" t="s">
        <v>45</v>
      </c>
      <c r="C37" s="17">
        <f>C36*1000</f>
        <v>83.004891317884088</v>
      </c>
      <c r="G37" s="17">
        <f>G36*1000</f>
        <v>122.08223326655924</v>
      </c>
      <c r="K37" s="17">
        <f>K36*1000</f>
        <v>68.332108743570899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A43" sqref="A43"/>
    </sheetView>
  </sheetViews>
  <sheetFormatPr baseColWidth="10" defaultRowHeight="16" x14ac:dyDescent="0.2"/>
  <cols>
    <col min="1" max="1" width="34.33203125" style="6" bestFit="1" customWidth="1"/>
    <col min="2" max="2" width="12.1640625" style="6" bestFit="1" customWidth="1"/>
    <col min="3" max="4" width="10.83203125" style="6"/>
    <col min="5" max="5" width="11.5" style="6" bestFit="1" customWidth="1"/>
    <col min="6" max="6" width="11.5" style="6" customWidth="1"/>
    <col min="7" max="7" width="12.5" style="6" customWidth="1"/>
    <col min="8" max="8" width="10.83203125" style="6" customWidth="1"/>
    <col min="9" max="9" width="18.33203125" style="6" customWidth="1"/>
    <col min="10" max="10" width="13.1640625" style="6" customWidth="1"/>
    <col min="11" max="17" width="10.83203125" style="6" customWidth="1"/>
    <col min="18" max="18" width="11.83203125" style="6" customWidth="1"/>
    <col min="19" max="19" width="11.83203125" style="6" bestFit="1" customWidth="1"/>
    <col min="20" max="16384" width="10.83203125" style="6"/>
  </cols>
  <sheetData>
    <row r="1" spans="1:20" x14ac:dyDescent="0.2">
      <c r="B1" s="6" t="s">
        <v>17</v>
      </c>
    </row>
    <row r="2" spans="1:20" x14ac:dyDescent="0.2">
      <c r="B2" s="6" t="s">
        <v>28</v>
      </c>
      <c r="C2" s="6">
        <v>39</v>
      </c>
      <c r="F2" s="6" t="s">
        <v>34</v>
      </c>
      <c r="G2" s="6">
        <v>56</v>
      </c>
      <c r="J2" s="6">
        <f>56*2+(32+16*4)*3+18</f>
        <v>418</v>
      </c>
    </row>
    <row r="3" spans="1:20" x14ac:dyDescent="0.2">
      <c r="B3" s="6" t="s">
        <v>29</v>
      </c>
      <c r="C3" s="6">
        <v>40</v>
      </c>
      <c r="F3" s="6" t="s">
        <v>35</v>
      </c>
      <c r="G3" s="6">
        <v>55</v>
      </c>
    </row>
    <row r="4" spans="1:20" x14ac:dyDescent="0.2">
      <c r="B4" s="6" t="s">
        <v>30</v>
      </c>
      <c r="C4" s="6">
        <v>24</v>
      </c>
      <c r="F4" s="6" t="s">
        <v>36</v>
      </c>
      <c r="G4" s="6">
        <v>64</v>
      </c>
    </row>
    <row r="5" spans="1:20" x14ac:dyDescent="0.2">
      <c r="B5" s="6" t="s">
        <v>32</v>
      </c>
      <c r="C5" s="6">
        <v>14</v>
      </c>
      <c r="F5" s="6" t="s">
        <v>37</v>
      </c>
      <c r="G5" s="6">
        <v>65</v>
      </c>
    </row>
    <row r="6" spans="1:20" x14ac:dyDescent="0.2">
      <c r="B6" s="6" t="s">
        <v>31</v>
      </c>
      <c r="C6" s="6">
        <v>32</v>
      </c>
      <c r="F6" s="6" t="s">
        <v>38</v>
      </c>
      <c r="G6" s="6">
        <v>11</v>
      </c>
    </row>
    <row r="7" spans="1:20" x14ac:dyDescent="0.2">
      <c r="B7" s="6" t="s">
        <v>33</v>
      </c>
      <c r="C7" s="6">
        <v>31</v>
      </c>
      <c r="F7" s="6" t="s">
        <v>68</v>
      </c>
      <c r="G7" s="6">
        <v>96</v>
      </c>
    </row>
    <row r="9" spans="1:20" ht="17" thickBot="1" x14ac:dyDescent="0.25">
      <c r="A9" s="1" t="s">
        <v>56</v>
      </c>
      <c r="B9" s="18">
        <v>1</v>
      </c>
      <c r="C9" s="1" t="s">
        <v>55</v>
      </c>
    </row>
    <row r="10" spans="1:20" x14ac:dyDescent="0.2">
      <c r="B10" s="1" t="s">
        <v>47</v>
      </c>
      <c r="C10" s="7" t="s">
        <v>70</v>
      </c>
      <c r="D10" s="8"/>
      <c r="E10" s="8"/>
      <c r="F10" s="9"/>
      <c r="G10" s="7" t="s">
        <v>2</v>
      </c>
      <c r="H10" s="8"/>
      <c r="I10" s="8"/>
      <c r="J10" s="9"/>
      <c r="K10" s="7" t="s">
        <v>4</v>
      </c>
      <c r="L10" s="8"/>
      <c r="M10" s="8"/>
      <c r="N10" s="9"/>
      <c r="O10" s="7" t="s">
        <v>39</v>
      </c>
      <c r="P10" s="8"/>
      <c r="Q10" s="8"/>
      <c r="R10" s="9"/>
      <c r="S10" s="6" t="s">
        <v>44</v>
      </c>
      <c r="T10" s="6" t="s">
        <v>45</v>
      </c>
    </row>
    <row r="11" spans="1:20" s="10" customFormat="1" ht="32" x14ac:dyDescent="0.2">
      <c r="A11" s="2" t="s">
        <v>1</v>
      </c>
      <c r="C11" s="11"/>
      <c r="D11" s="12" t="s">
        <v>17</v>
      </c>
      <c r="E11" s="12" t="s">
        <v>16</v>
      </c>
      <c r="F11" s="13" t="s">
        <v>54</v>
      </c>
      <c r="G11" s="11"/>
      <c r="H11" s="12" t="s">
        <v>17</v>
      </c>
      <c r="I11" s="12" t="s">
        <v>16</v>
      </c>
      <c r="J11" s="13" t="s">
        <v>54</v>
      </c>
      <c r="K11" s="11"/>
      <c r="L11" s="12" t="s">
        <v>17</v>
      </c>
      <c r="M11" s="12" t="s">
        <v>16</v>
      </c>
      <c r="N11" s="13" t="s">
        <v>54</v>
      </c>
      <c r="O11" s="11" t="s">
        <v>41</v>
      </c>
      <c r="P11" s="12" t="s">
        <v>17</v>
      </c>
      <c r="Q11" s="12" t="s">
        <v>46</v>
      </c>
      <c r="R11" s="13" t="s">
        <v>54</v>
      </c>
    </row>
    <row r="12" spans="1:20" x14ac:dyDescent="0.2">
      <c r="A12" s="18" t="s">
        <v>19</v>
      </c>
      <c r="B12" s="18"/>
      <c r="C12" s="3" t="s">
        <v>7</v>
      </c>
      <c r="D12" s="4">
        <v>101.1</v>
      </c>
      <c r="E12" s="4" t="s">
        <v>20</v>
      </c>
      <c r="F12" s="5">
        <v>0.8</v>
      </c>
      <c r="G12" s="3" t="s">
        <v>0</v>
      </c>
      <c r="H12" s="4">
        <v>174.3</v>
      </c>
      <c r="I12" s="4" t="s">
        <v>22</v>
      </c>
      <c r="J12" s="5">
        <v>0</v>
      </c>
      <c r="K12" s="3" t="s">
        <v>9</v>
      </c>
      <c r="L12" s="19">
        <v>136.1</v>
      </c>
      <c r="M12" s="4" t="s">
        <v>27</v>
      </c>
      <c r="N12" s="5">
        <v>0</v>
      </c>
      <c r="O12" s="16"/>
      <c r="P12" s="14"/>
      <c r="Q12" s="14"/>
      <c r="R12" s="15"/>
      <c r="S12" s="10">
        <f>F12*$C$2/D12+2*J12*$C$2/H12+N12*$C$2/L12</f>
        <v>0.30860534124629085</v>
      </c>
      <c r="T12" s="17">
        <f>S12*1000</f>
        <v>308.60534124629083</v>
      </c>
    </row>
    <row r="13" spans="1:20" x14ac:dyDescent="0.2">
      <c r="A13" s="18" t="s">
        <v>5</v>
      </c>
      <c r="B13" s="18"/>
      <c r="C13" s="3" t="s">
        <v>65</v>
      </c>
      <c r="D13" s="4">
        <v>236.15</v>
      </c>
      <c r="E13" s="4" t="s">
        <v>21</v>
      </c>
      <c r="F13" s="5">
        <v>0.7</v>
      </c>
      <c r="G13" s="21" t="s">
        <v>8</v>
      </c>
      <c r="H13" s="22">
        <v>136.1</v>
      </c>
      <c r="I13" s="22" t="s">
        <v>23</v>
      </c>
      <c r="J13" s="23">
        <v>0</v>
      </c>
      <c r="K13" s="3"/>
      <c r="L13" s="4"/>
      <c r="M13" s="4"/>
      <c r="N13" s="5"/>
      <c r="O13" s="16"/>
      <c r="P13" s="14"/>
      <c r="Q13" s="14"/>
      <c r="R13" s="15"/>
      <c r="S13" s="10">
        <f>F13*$C$3/D13</f>
        <v>0.118568706330722</v>
      </c>
      <c r="T13" s="17">
        <f t="shared" ref="T13:T20" si="0">S13*1000</f>
        <v>118.56870633072199</v>
      </c>
    </row>
    <row r="14" spans="1:20" x14ac:dyDescent="0.2">
      <c r="A14" s="18" t="s">
        <v>6</v>
      </c>
      <c r="B14" s="18"/>
      <c r="C14" s="3"/>
      <c r="D14" s="4"/>
      <c r="E14" s="4"/>
      <c r="F14" s="5"/>
      <c r="G14" s="3" t="s">
        <v>62</v>
      </c>
      <c r="H14" s="4">
        <v>246.4</v>
      </c>
      <c r="I14" s="4" t="s">
        <v>24</v>
      </c>
      <c r="J14" s="5">
        <v>0.7</v>
      </c>
      <c r="K14" s="3"/>
      <c r="L14" s="4"/>
      <c r="M14" s="4"/>
      <c r="N14" s="5"/>
      <c r="O14" s="16"/>
      <c r="P14" s="14"/>
      <c r="Q14" s="14"/>
      <c r="R14" s="15"/>
      <c r="S14" s="10">
        <f>J14*$C$4/H14</f>
        <v>6.8181818181818163E-2</v>
      </c>
      <c r="T14" s="17">
        <f t="shared" si="0"/>
        <v>68.181818181818159</v>
      </c>
    </row>
    <row r="15" spans="1:20" x14ac:dyDescent="0.2">
      <c r="A15" s="18" t="s">
        <v>13</v>
      </c>
      <c r="B15" s="18"/>
      <c r="C15" s="3"/>
      <c r="D15" s="4"/>
      <c r="E15" s="4"/>
      <c r="F15" s="5"/>
      <c r="G15" s="3" t="s">
        <v>72</v>
      </c>
      <c r="H15" s="4">
        <v>278.02</v>
      </c>
      <c r="I15" s="4" t="s">
        <v>18</v>
      </c>
      <c r="J15" s="5">
        <v>0.01</v>
      </c>
      <c r="K15" s="3"/>
      <c r="L15" s="4"/>
      <c r="M15" s="4"/>
      <c r="N15" s="5"/>
      <c r="O15" s="3"/>
      <c r="P15" s="4"/>
      <c r="Q15" s="4"/>
      <c r="R15" s="5"/>
      <c r="S15" s="18">
        <f>J15*$G$2/H15</f>
        <v>2.0142435795985902E-3</v>
      </c>
      <c r="T15" s="17">
        <f t="shared" si="0"/>
        <v>2.01424357959859</v>
      </c>
    </row>
    <row r="16" spans="1:20" x14ac:dyDescent="0.2">
      <c r="A16" s="18" t="s">
        <v>14</v>
      </c>
      <c r="B16" s="18"/>
      <c r="C16" s="3"/>
      <c r="D16" s="4"/>
      <c r="E16" s="4"/>
      <c r="F16" s="5"/>
      <c r="G16" s="3" t="s">
        <v>63</v>
      </c>
      <c r="H16" s="4">
        <v>169.02</v>
      </c>
      <c r="I16" s="19" t="s">
        <v>25</v>
      </c>
      <c r="J16" s="25">
        <v>3.0000000000000001E-3</v>
      </c>
      <c r="K16" s="3"/>
      <c r="L16" s="4"/>
      <c r="M16" s="4"/>
      <c r="N16" s="5"/>
      <c r="O16" s="3"/>
      <c r="P16" s="4"/>
      <c r="Q16" s="4"/>
      <c r="R16" s="5"/>
      <c r="S16" s="18">
        <f>J16*$G$3/H16</f>
        <v>9.7621583244586441E-4</v>
      </c>
      <c r="T16" s="17">
        <f t="shared" si="0"/>
        <v>0.97621583244586441</v>
      </c>
    </row>
    <row r="17" spans="1:20" ht="18" x14ac:dyDescent="0.25">
      <c r="A17" s="18" t="s">
        <v>12</v>
      </c>
      <c r="B17" s="18"/>
      <c r="C17" s="3"/>
      <c r="D17" s="4"/>
      <c r="E17" s="4"/>
      <c r="F17" s="5"/>
      <c r="G17" s="26" t="s">
        <v>53</v>
      </c>
      <c r="H17" s="26">
        <v>249.685</v>
      </c>
      <c r="I17" s="19" t="s">
        <v>52</v>
      </c>
      <c r="J17" s="25">
        <v>1E-3</v>
      </c>
      <c r="K17" s="3"/>
      <c r="L17" s="4"/>
      <c r="M17" s="4"/>
      <c r="N17" s="5"/>
      <c r="O17" s="3"/>
      <c r="P17" s="4"/>
      <c r="Q17" s="4"/>
      <c r="R17" s="5"/>
      <c r="S17" s="18">
        <f>J17*$G$4/H17</f>
        <v>2.5632296693834229E-4</v>
      </c>
      <c r="T17" s="17">
        <f t="shared" si="0"/>
        <v>0.25632296693834228</v>
      </c>
    </row>
    <row r="18" spans="1:20" x14ac:dyDescent="0.2">
      <c r="A18" s="18" t="s">
        <v>15</v>
      </c>
      <c r="B18" s="18"/>
      <c r="C18" s="3"/>
      <c r="D18" s="4"/>
      <c r="E18" s="4"/>
      <c r="F18" s="5"/>
      <c r="G18" s="3" t="s">
        <v>64</v>
      </c>
      <c r="H18" s="19">
        <v>287.54000000000002</v>
      </c>
      <c r="I18" s="4" t="s">
        <v>26</v>
      </c>
      <c r="J18" s="5">
        <v>2E-3</v>
      </c>
      <c r="K18" s="3"/>
      <c r="L18" s="4"/>
      <c r="M18" s="4"/>
      <c r="N18" s="5"/>
      <c r="O18" s="3"/>
      <c r="P18" s="4"/>
      <c r="Q18" s="4"/>
      <c r="R18" s="5"/>
      <c r="S18" s="18">
        <f>J18*$G$5/H18</f>
        <v>4.5211101064199764E-4</v>
      </c>
      <c r="T18" s="17">
        <f t="shared" si="0"/>
        <v>0.45211101064199766</v>
      </c>
    </row>
    <row r="19" spans="1:20" x14ac:dyDescent="0.2">
      <c r="A19" s="18" t="s">
        <v>69</v>
      </c>
      <c r="B19" s="18"/>
      <c r="C19" s="3" t="s">
        <v>66</v>
      </c>
      <c r="D19" s="6">
        <v>1235.8599999999999</v>
      </c>
      <c r="E19" s="4" t="s">
        <v>71</v>
      </c>
      <c r="F19" s="5">
        <v>1E-4</v>
      </c>
      <c r="G19" s="3"/>
      <c r="H19" s="4"/>
      <c r="I19" s="4"/>
      <c r="J19" s="5"/>
      <c r="K19" s="3"/>
      <c r="L19" s="4"/>
      <c r="M19" s="4"/>
      <c r="N19" s="5"/>
      <c r="O19" s="3"/>
      <c r="P19" s="4"/>
      <c r="Q19" s="4"/>
      <c r="R19" s="5"/>
      <c r="S19" s="18">
        <f>F19*7*$G$7/D19</f>
        <v>5.4375091029728284E-5</v>
      </c>
      <c r="T19" s="17">
        <f t="shared" si="0"/>
        <v>5.4375091029728283E-2</v>
      </c>
    </row>
    <row r="20" spans="1:20" ht="17" thickBot="1" x14ac:dyDescent="0.25">
      <c r="A20" s="18" t="s">
        <v>43</v>
      </c>
      <c r="B20" s="18"/>
      <c r="C20" s="27"/>
      <c r="D20" s="28"/>
      <c r="E20" s="28"/>
      <c r="F20" s="29"/>
      <c r="G20" s="27"/>
      <c r="H20" s="28"/>
      <c r="I20" s="28"/>
      <c r="J20" s="29"/>
      <c r="K20" s="27"/>
      <c r="L20" s="28"/>
      <c r="M20" s="28"/>
      <c r="N20" s="29"/>
      <c r="O20" s="27" t="s">
        <v>42</v>
      </c>
      <c r="P20" s="28">
        <v>62</v>
      </c>
      <c r="Q20" s="28" t="s">
        <v>40</v>
      </c>
      <c r="R20" s="29">
        <v>5.0000000000000001E-3</v>
      </c>
      <c r="S20" s="18">
        <f>R20*$G$6/P20</f>
        <v>8.8709677419354844E-4</v>
      </c>
      <c r="T20" s="17">
        <f t="shared" si="0"/>
        <v>0.88709677419354849</v>
      </c>
    </row>
    <row r="21" spans="1:20" x14ac:dyDescent="0.2">
      <c r="B21" s="6" t="s">
        <v>48</v>
      </c>
      <c r="C21" s="6">
        <f>F12*$C$5/D12+2*F13*$C$5/D13+6*F19*$C$5/D19</f>
        <v>0.19378629586783466</v>
      </c>
      <c r="D21" s="6" t="s">
        <v>49</v>
      </c>
      <c r="G21" s="6">
        <f>J12*$C$6/H12+J14*$C$6/H14+J15*$C$6/H15+J16*$C$6/H16+J17*$C$6/H17+J18*$C$6/H18</f>
        <v>9.2978806572771105E-2</v>
      </c>
      <c r="H21" s="6" t="s">
        <v>50</v>
      </c>
      <c r="K21" s="6">
        <f>N12*$C$7/L12</f>
        <v>0</v>
      </c>
      <c r="L21" s="6" t="s">
        <v>51</v>
      </c>
    </row>
    <row r="22" spans="1:20" x14ac:dyDescent="0.2">
      <c r="B22" s="6" t="s">
        <v>45</v>
      </c>
      <c r="C22" s="17">
        <f>C21*1000</f>
        <v>193.78629586783467</v>
      </c>
      <c r="G22" s="17">
        <f>G21*1000</f>
        <v>92.978806572771106</v>
      </c>
      <c r="K22" s="17">
        <f>K21*1000</f>
        <v>0</v>
      </c>
    </row>
    <row r="24" spans="1:20" ht="17" thickBot="1" x14ac:dyDescent="0.25">
      <c r="A24" s="1" t="s">
        <v>56</v>
      </c>
      <c r="B24" s="46">
        <v>2</v>
      </c>
      <c r="C24" s="1" t="s">
        <v>55</v>
      </c>
    </row>
    <row r="25" spans="1:20" x14ac:dyDescent="0.2">
      <c r="B25" s="1"/>
      <c r="C25" s="7" t="s">
        <v>3</v>
      </c>
      <c r="D25" s="8"/>
      <c r="E25" s="8"/>
      <c r="F25" s="9"/>
      <c r="G25" s="7" t="s">
        <v>2</v>
      </c>
      <c r="H25" s="8"/>
      <c r="I25" s="8"/>
      <c r="J25" s="9"/>
      <c r="K25" s="7" t="s">
        <v>4</v>
      </c>
      <c r="L25" s="8"/>
      <c r="M25" s="8"/>
      <c r="N25" s="9"/>
      <c r="O25" s="7" t="s">
        <v>39</v>
      </c>
      <c r="P25" s="8"/>
      <c r="Q25" s="8"/>
      <c r="R25" s="9"/>
      <c r="S25" s="6" t="s">
        <v>44</v>
      </c>
      <c r="T25" s="6" t="s">
        <v>45</v>
      </c>
    </row>
    <row r="26" spans="1:20" ht="32" x14ac:dyDescent="0.2">
      <c r="A26" s="2" t="s">
        <v>1</v>
      </c>
      <c r="B26" s="10"/>
      <c r="C26" s="11"/>
      <c r="D26" s="12" t="s">
        <v>17</v>
      </c>
      <c r="E26" s="12" t="s">
        <v>16</v>
      </c>
      <c r="F26" s="13" t="s">
        <v>73</v>
      </c>
      <c r="G26" s="11"/>
      <c r="H26" s="12" t="s">
        <v>17</v>
      </c>
      <c r="I26" s="12" t="s">
        <v>16</v>
      </c>
      <c r="J26" s="13" t="s">
        <v>73</v>
      </c>
      <c r="K26" s="11"/>
      <c r="L26" s="12" t="s">
        <v>17</v>
      </c>
      <c r="M26" s="12" t="s">
        <v>16</v>
      </c>
      <c r="N26" s="13" t="s">
        <v>73</v>
      </c>
      <c r="O26" s="11" t="s">
        <v>41</v>
      </c>
      <c r="P26" s="12" t="s">
        <v>17</v>
      </c>
      <c r="Q26" s="12" t="s">
        <v>46</v>
      </c>
      <c r="R26" s="13" t="s">
        <v>73</v>
      </c>
      <c r="S26" s="10"/>
      <c r="T26" s="10"/>
    </row>
    <row r="27" spans="1:20" x14ac:dyDescent="0.2">
      <c r="A27" s="18" t="s">
        <v>19</v>
      </c>
      <c r="B27" s="18"/>
      <c r="C27" s="3" t="s">
        <v>7</v>
      </c>
      <c r="D27" s="4">
        <v>101.1</v>
      </c>
      <c r="E27" s="4" t="s">
        <v>20</v>
      </c>
      <c r="F27" s="24">
        <f>F12*$B$24</f>
        <v>1.6</v>
      </c>
      <c r="G27" s="3" t="s">
        <v>0</v>
      </c>
      <c r="H27" s="4">
        <v>174.3</v>
      </c>
      <c r="I27" s="4" t="s">
        <v>22</v>
      </c>
      <c r="J27" s="24">
        <f>J12*$B$24</f>
        <v>0</v>
      </c>
      <c r="K27" s="3" t="s">
        <v>9</v>
      </c>
      <c r="L27" s="19">
        <v>136.1</v>
      </c>
      <c r="M27" s="4" t="s">
        <v>27</v>
      </c>
      <c r="N27" s="24">
        <f>N12*$B$24</f>
        <v>0</v>
      </c>
      <c r="O27" s="16"/>
      <c r="P27" s="14"/>
      <c r="Q27" s="14"/>
      <c r="R27" s="15"/>
      <c r="S27" s="20">
        <f>(F27*$C$2/D27+2*J27*$C$2/H27+N27*$C$2/L27)/$B$24</f>
        <v>0.30860534124629085</v>
      </c>
      <c r="T27" s="17">
        <f>S27*1000</f>
        <v>308.60534124629083</v>
      </c>
    </row>
    <row r="28" spans="1:20" x14ac:dyDescent="0.2">
      <c r="A28" s="18" t="s">
        <v>5</v>
      </c>
      <c r="B28" s="18"/>
      <c r="C28" s="3" t="s">
        <v>65</v>
      </c>
      <c r="D28" s="4">
        <v>236.15</v>
      </c>
      <c r="E28" s="4" t="s">
        <v>21</v>
      </c>
      <c r="F28" s="24">
        <f>F13*$B$24</f>
        <v>1.4</v>
      </c>
      <c r="G28" s="21" t="s">
        <v>8</v>
      </c>
      <c r="H28" s="22">
        <v>136.1</v>
      </c>
      <c r="I28" s="22" t="s">
        <v>23</v>
      </c>
      <c r="J28" s="23">
        <f t="shared" ref="J28" si="1">J13*$B$24</f>
        <v>0</v>
      </c>
      <c r="K28" s="3" t="s">
        <v>10</v>
      </c>
      <c r="L28" s="4"/>
      <c r="M28" s="4"/>
      <c r="N28" s="5"/>
      <c r="O28" s="16"/>
      <c r="P28" s="14"/>
      <c r="Q28" s="14"/>
      <c r="R28" s="15"/>
      <c r="S28" s="10">
        <f>(F28*$C$3/D28)/$B$24</f>
        <v>0.118568706330722</v>
      </c>
      <c r="T28" s="17">
        <f t="shared" ref="T28:T35" si="2">S28*1000</f>
        <v>118.56870633072199</v>
      </c>
    </row>
    <row r="29" spans="1:20" x14ac:dyDescent="0.2">
      <c r="A29" s="18" t="s">
        <v>6</v>
      </c>
      <c r="B29" s="18"/>
      <c r="C29" s="3"/>
      <c r="D29" s="4"/>
      <c r="E29" s="4"/>
      <c r="F29" s="5"/>
      <c r="G29" s="3" t="s">
        <v>62</v>
      </c>
      <c r="H29" s="4">
        <v>246.4</v>
      </c>
      <c r="I29" s="4" t="s">
        <v>24</v>
      </c>
      <c r="J29" s="24">
        <f>J14*$B$24</f>
        <v>1.4</v>
      </c>
      <c r="K29" s="3" t="s">
        <v>11</v>
      </c>
      <c r="L29" s="4"/>
      <c r="M29" s="4"/>
      <c r="N29" s="5"/>
      <c r="O29" s="16"/>
      <c r="P29" s="14"/>
      <c r="Q29" s="14"/>
      <c r="R29" s="15"/>
      <c r="S29" s="10">
        <f>(J29*$C$4/H29)/$B$24</f>
        <v>6.8181818181818163E-2</v>
      </c>
      <c r="T29" s="17">
        <f t="shared" si="2"/>
        <v>68.181818181818159</v>
      </c>
    </row>
    <row r="30" spans="1:20" x14ac:dyDescent="0.2">
      <c r="A30" s="18" t="s">
        <v>13</v>
      </c>
      <c r="B30" s="18"/>
      <c r="C30" s="3"/>
      <c r="D30" s="4"/>
      <c r="E30" s="4"/>
      <c r="F30" s="5"/>
      <c r="G30" s="3" t="s">
        <v>72</v>
      </c>
      <c r="H30" s="4">
        <v>278.02</v>
      </c>
      <c r="I30" s="4" t="s">
        <v>18</v>
      </c>
      <c r="J30" s="24">
        <f t="shared" ref="J30:J33" si="3">J15*$B$24</f>
        <v>0.02</v>
      </c>
      <c r="K30" s="3"/>
      <c r="L30" s="4"/>
      <c r="M30" s="4"/>
      <c r="N30" s="5"/>
      <c r="O30" s="3"/>
      <c r="P30" s="4"/>
      <c r="Q30" s="4"/>
      <c r="R30" s="5"/>
      <c r="S30" s="18">
        <f>(J30*$G$2/H30)/$B$24</f>
        <v>2.0142435795985902E-3</v>
      </c>
      <c r="T30" s="17">
        <f t="shared" si="2"/>
        <v>2.01424357959859</v>
      </c>
    </row>
    <row r="31" spans="1:20" x14ac:dyDescent="0.2">
      <c r="A31" s="18" t="s">
        <v>14</v>
      </c>
      <c r="B31" s="18"/>
      <c r="C31" s="3"/>
      <c r="D31" s="4"/>
      <c r="E31" s="4"/>
      <c r="F31" s="5"/>
      <c r="G31" s="3" t="s">
        <v>63</v>
      </c>
      <c r="H31" s="4">
        <v>169.02</v>
      </c>
      <c r="I31" s="19" t="s">
        <v>25</v>
      </c>
      <c r="J31" s="24">
        <f t="shared" si="3"/>
        <v>6.0000000000000001E-3</v>
      </c>
      <c r="K31" s="3"/>
      <c r="L31" s="4"/>
      <c r="M31" s="4"/>
      <c r="N31" s="5"/>
      <c r="O31" s="3"/>
      <c r="P31" s="4"/>
      <c r="Q31" s="4"/>
      <c r="R31" s="5"/>
      <c r="S31" s="18">
        <f>(J31*$G$3/H31)/$B$24</f>
        <v>9.7621583244586441E-4</v>
      </c>
      <c r="T31" s="17">
        <f t="shared" si="2"/>
        <v>0.97621583244586441</v>
      </c>
    </row>
    <row r="32" spans="1:20" ht="18" x14ac:dyDescent="0.25">
      <c r="A32" s="18" t="s">
        <v>12</v>
      </c>
      <c r="B32" s="18"/>
      <c r="C32" s="3"/>
      <c r="D32" s="4"/>
      <c r="E32" s="4"/>
      <c r="F32" s="5"/>
      <c r="G32" s="26" t="s">
        <v>53</v>
      </c>
      <c r="H32" s="26">
        <v>249.685</v>
      </c>
      <c r="I32" s="19" t="s">
        <v>52</v>
      </c>
      <c r="J32" s="24">
        <f t="shared" si="3"/>
        <v>2E-3</v>
      </c>
      <c r="K32" s="3"/>
      <c r="L32" s="4"/>
      <c r="M32" s="4"/>
      <c r="N32" s="5"/>
      <c r="O32" s="3"/>
      <c r="P32" s="4"/>
      <c r="Q32" s="4"/>
      <c r="R32" s="5"/>
      <c r="S32" s="18">
        <f>(J32*$G$4/H32)/$B$24</f>
        <v>2.5632296693834229E-4</v>
      </c>
      <c r="T32" s="17">
        <f t="shared" si="2"/>
        <v>0.25632296693834228</v>
      </c>
    </row>
    <row r="33" spans="1:20" x14ac:dyDescent="0.2">
      <c r="A33" s="18" t="s">
        <v>15</v>
      </c>
      <c r="B33" s="18"/>
      <c r="C33" s="3"/>
      <c r="D33" s="4"/>
      <c r="E33" s="4"/>
      <c r="F33" s="5"/>
      <c r="G33" s="3" t="s">
        <v>64</v>
      </c>
      <c r="H33" s="19">
        <v>287.54000000000002</v>
      </c>
      <c r="I33" s="4" t="s">
        <v>26</v>
      </c>
      <c r="J33" s="24">
        <f t="shared" si="3"/>
        <v>4.0000000000000001E-3</v>
      </c>
      <c r="K33" s="3"/>
      <c r="L33" s="4"/>
      <c r="M33" s="4"/>
      <c r="N33" s="5"/>
      <c r="O33" s="3"/>
      <c r="P33" s="4"/>
      <c r="Q33" s="4"/>
      <c r="R33" s="5"/>
      <c r="S33" s="18">
        <f>(J33*$G$5/H33)/$B$24</f>
        <v>4.5211101064199764E-4</v>
      </c>
      <c r="T33" s="17">
        <f t="shared" si="2"/>
        <v>0.45211101064199766</v>
      </c>
    </row>
    <row r="34" spans="1:20" x14ac:dyDescent="0.2">
      <c r="A34" s="18" t="s">
        <v>67</v>
      </c>
      <c r="B34" s="18"/>
      <c r="C34" s="3" t="s">
        <v>66</v>
      </c>
      <c r="D34" s="6">
        <v>1235.8599999999999</v>
      </c>
      <c r="E34" s="4" t="s">
        <v>71</v>
      </c>
      <c r="F34" s="24">
        <f>F19*$B$24</f>
        <v>2.0000000000000001E-4</v>
      </c>
      <c r="G34" s="3"/>
      <c r="H34" s="4"/>
      <c r="I34" s="4"/>
      <c r="J34" s="5"/>
      <c r="K34" s="3"/>
      <c r="L34" s="4"/>
      <c r="M34" s="4"/>
      <c r="N34" s="5"/>
      <c r="O34" s="3"/>
      <c r="P34" s="4"/>
      <c r="Q34" s="4"/>
      <c r="R34" s="5"/>
      <c r="S34" s="18">
        <f>(F34*7*$G$7/D34)/$B$24</f>
        <v>5.4375091029728284E-5</v>
      </c>
      <c r="T34" s="17">
        <f t="shared" si="2"/>
        <v>5.4375091029728283E-2</v>
      </c>
    </row>
    <row r="35" spans="1:20" ht="17" thickBot="1" x14ac:dyDescent="0.25">
      <c r="A35" s="18" t="s">
        <v>43</v>
      </c>
      <c r="B35" s="18"/>
      <c r="C35" s="27"/>
      <c r="D35" s="28"/>
      <c r="E35" s="28"/>
      <c r="F35" s="29"/>
      <c r="G35" s="27"/>
      <c r="H35" s="28"/>
      <c r="I35" s="28"/>
      <c r="J35" s="29"/>
      <c r="K35" s="27"/>
      <c r="L35" s="28"/>
      <c r="M35" s="28"/>
      <c r="N35" s="29"/>
      <c r="O35" s="27" t="s">
        <v>42</v>
      </c>
      <c r="P35" s="28">
        <v>62</v>
      </c>
      <c r="Q35" s="28" t="s">
        <v>40</v>
      </c>
      <c r="R35" s="47">
        <f>R20*$B$24</f>
        <v>0.01</v>
      </c>
      <c r="S35" s="18">
        <f>(R35*$G$6/P35)/$B$24</f>
        <v>8.8709677419354844E-4</v>
      </c>
      <c r="T35" s="17">
        <f t="shared" si="2"/>
        <v>0.88709677419354849</v>
      </c>
    </row>
    <row r="36" spans="1:20" x14ac:dyDescent="0.2">
      <c r="B36" s="6" t="s">
        <v>48</v>
      </c>
      <c r="C36" s="6">
        <f>(F27*$C$5/D27+2*F28*$C$5/D28+6*F34*$C$5/D34)/$B$24</f>
        <v>0.19378629586783466</v>
      </c>
      <c r="D36" s="6" t="s">
        <v>49</v>
      </c>
      <c r="G36" s="6">
        <f>(J27*$C$6/H27+J29*$C$6/H29+J30*$C$6/H30+J31*$C$6/H31+J32*$C$6/H32+J33*$C$6/H33)/$B$24</f>
        <v>9.2978806572771105E-2</v>
      </c>
      <c r="H36" s="6" t="s">
        <v>50</v>
      </c>
      <c r="K36" s="6">
        <f>(N27*$C$7/L27)/$B$24</f>
        <v>0</v>
      </c>
      <c r="L36" s="6" t="s">
        <v>51</v>
      </c>
    </row>
    <row r="37" spans="1:20" x14ac:dyDescent="0.2">
      <c r="B37" s="6" t="s">
        <v>45</v>
      </c>
      <c r="C37" s="17">
        <f>C36*1000</f>
        <v>193.78629586783467</v>
      </c>
      <c r="G37" s="17">
        <f>G36*1000</f>
        <v>92.978806572771106</v>
      </c>
      <c r="K37" s="17">
        <f>K36*1000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55" sqref="A55"/>
    </sheetView>
  </sheetViews>
  <sheetFormatPr baseColWidth="10" defaultRowHeight="16" x14ac:dyDescent="0.2"/>
  <cols>
    <col min="1" max="1" width="18.6640625" customWidth="1"/>
    <col min="2" max="2" width="12.6640625" bestFit="1" customWidth="1"/>
    <col min="3" max="3" width="13.33203125" bestFit="1" customWidth="1"/>
    <col min="4" max="4" width="31" bestFit="1" customWidth="1"/>
  </cols>
  <sheetData>
    <row r="2" spans="1:4" ht="17" thickBot="1" x14ac:dyDescent="0.25"/>
    <row r="3" spans="1:4" ht="17" thickBot="1" x14ac:dyDescent="0.25">
      <c r="A3" s="44" t="s">
        <v>57</v>
      </c>
      <c r="B3" s="41" t="s">
        <v>58</v>
      </c>
      <c r="C3" s="42"/>
      <c r="D3" s="43"/>
    </row>
    <row r="4" spans="1:4" x14ac:dyDescent="0.2">
      <c r="A4" s="45"/>
      <c r="B4" s="36" t="s">
        <v>59</v>
      </c>
      <c r="C4" s="34" t="s">
        <v>60</v>
      </c>
      <c r="D4" s="35" t="s">
        <v>61</v>
      </c>
    </row>
    <row r="5" spans="1:4" x14ac:dyDescent="0.2">
      <c r="A5" s="39" t="s">
        <v>19</v>
      </c>
      <c r="B5" s="37"/>
      <c r="C5" s="30"/>
      <c r="D5" s="31"/>
    </row>
    <row r="6" spans="1:4" x14ac:dyDescent="0.2">
      <c r="A6" s="39" t="s">
        <v>5</v>
      </c>
      <c r="B6" s="37"/>
      <c r="C6" s="30"/>
      <c r="D6" s="31"/>
    </row>
    <row r="7" spans="1:4" x14ac:dyDescent="0.2">
      <c r="A7" s="39" t="s">
        <v>6</v>
      </c>
      <c r="B7" s="37"/>
      <c r="C7" s="30"/>
      <c r="D7" s="31"/>
    </row>
    <row r="8" spans="1:4" x14ac:dyDescent="0.2">
      <c r="A8" s="39" t="s">
        <v>13</v>
      </c>
      <c r="B8" s="37"/>
      <c r="C8" s="30"/>
      <c r="D8" s="31"/>
    </row>
    <row r="9" spans="1:4" x14ac:dyDescent="0.2">
      <c r="A9" s="39" t="s">
        <v>14</v>
      </c>
      <c r="B9" s="37"/>
      <c r="C9" s="30"/>
      <c r="D9" s="31"/>
    </row>
    <row r="10" spans="1:4" x14ac:dyDescent="0.2">
      <c r="A10" s="39" t="s">
        <v>12</v>
      </c>
      <c r="B10" s="37"/>
      <c r="C10" s="30"/>
      <c r="D10" s="31"/>
    </row>
    <row r="11" spans="1:4" ht="17" thickBot="1" x14ac:dyDescent="0.25">
      <c r="A11" s="40" t="s">
        <v>15</v>
      </c>
      <c r="B11" s="38"/>
      <c r="C11" s="32"/>
      <c r="D11" s="33"/>
    </row>
  </sheetData>
  <mergeCells count="2">
    <mergeCell ref="B3:D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</vt:lpstr>
      <vt:lpstr>N-deficient</vt:lpstr>
      <vt:lpstr>P-deficient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2016-05-18T13:56:57Z</cp:lastPrinted>
  <dcterms:created xsi:type="dcterms:W3CDTF">2016-05-15T20:59:23Z</dcterms:created>
  <dcterms:modified xsi:type="dcterms:W3CDTF">2016-05-27T13:53:09Z</dcterms:modified>
</cp:coreProperties>
</file>